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1340" windowHeight="5970" tabRatio="599" firstSheet="6" activeTab="11"/>
  </bookViews>
  <sheets>
    <sheet name="155-2-3" sheetId="1" r:id="rId1"/>
    <sheet name="155-2-4" sheetId="2" r:id="rId2"/>
    <sheet name="312-2-2 Wes" sheetId="3" r:id="rId3"/>
    <sheet name="313-2-2 Cen" sheetId="4" r:id="rId4"/>
    <sheet name="314-2-2 Sou" sheetId="5" r:id="rId5"/>
    <sheet name="315-2-2 North" sheetId="6" r:id="rId6"/>
    <sheet name="316-2-2 NW" sheetId="7" r:id="rId7"/>
    <sheet name="317-2-2 NCP" sheetId="8" r:id="rId8"/>
    <sheet name="318-2-2 Uva" sheetId="9" r:id="rId9"/>
    <sheet name="319-2-2 Sab" sheetId="10" r:id="rId10"/>
    <sheet name="321-2-2 Eastern" sheetId="11" r:id="rId11"/>
    <sheet name="Summary" sheetId="12" r:id="rId12"/>
  </sheets>
  <definedNames>
    <definedName name="_xlnm.Print_Area" localSheetId="0">'155-2-3'!$A$1:$L$133</definedName>
    <definedName name="_xlnm.Print_Titles" localSheetId="0">'155-2-3'!$4:$7</definedName>
    <definedName name="_xlnm.Print_Titles" localSheetId="11">'Summary'!$5:$7</definedName>
  </definedNames>
  <calcPr fullCalcOnLoad="1"/>
</workbook>
</file>

<file path=xl/sharedStrings.xml><?xml version="1.0" encoding="utf-8"?>
<sst xmlns="http://schemas.openxmlformats.org/spreadsheetml/2006/main" count="1868" uniqueCount="112">
  <si>
    <t>Estimate</t>
  </si>
  <si>
    <t>02 - Developmenet Activities</t>
  </si>
  <si>
    <t>Project</t>
  </si>
  <si>
    <t>Subproject</t>
  </si>
  <si>
    <t>Object</t>
  </si>
  <si>
    <t>Item</t>
  </si>
  <si>
    <t>Finance Code</t>
  </si>
  <si>
    <t>Category / Object / Item
escription</t>
  </si>
  <si>
    <t>Capital Expenditure</t>
  </si>
  <si>
    <t>Other Capital Expenditure</t>
  </si>
  <si>
    <t>Other Investments</t>
  </si>
  <si>
    <t>Rs. '000</t>
  </si>
  <si>
    <t>Total Expenditure</t>
  </si>
  <si>
    <t>Total Financing</t>
  </si>
  <si>
    <t>Domestic</t>
  </si>
  <si>
    <t>Foreign Aid Related Domestic Funds</t>
  </si>
  <si>
    <t>Foreign</t>
  </si>
  <si>
    <t>Foreign Aid Loans</t>
  </si>
  <si>
    <t>Foreign Aid Grants</t>
  </si>
  <si>
    <t>Reimbursable Foreign Aid Loans</t>
  </si>
  <si>
    <t>Projections</t>
  </si>
  <si>
    <t>Other Investments in Provincial Councils</t>
  </si>
  <si>
    <t xml:space="preserve">Revised </t>
  </si>
  <si>
    <t xml:space="preserve">Projection </t>
  </si>
  <si>
    <t>Health Sector Development Project</t>
  </si>
  <si>
    <t xml:space="preserve"> Health Sector Development Project -(GOSL/WB)</t>
  </si>
  <si>
    <t>Local Government Infrastructure Improvement Project(ADB)</t>
  </si>
  <si>
    <t>Construction of Al-Aksha Maha Vidyalaya- Pakistan Govt.</t>
  </si>
  <si>
    <t>Ministry of Provincial Councils and Local Government</t>
  </si>
  <si>
    <t>03 - Regional and Livelihood Development</t>
  </si>
  <si>
    <t>2017 Estimate</t>
  </si>
  <si>
    <t>Greater Colombo Waste Water Management Project - (GOSL/ADB)</t>
  </si>
  <si>
    <t>.</t>
  </si>
  <si>
    <t>HEAD -  155 Ministry of Provincial Councils and Local Government</t>
  </si>
  <si>
    <t>04 - Local Government and Regional Infrastructure Development</t>
  </si>
  <si>
    <t>Actual up to         30.06.2016</t>
  </si>
  <si>
    <t>2018 - 2019
Total</t>
  </si>
  <si>
    <t xml:space="preserve">Western Province </t>
  </si>
  <si>
    <t>Central Province</t>
  </si>
  <si>
    <t>Southern Province</t>
  </si>
  <si>
    <t>Northern Province</t>
  </si>
  <si>
    <t>Northern Road Connectivity Project (ADB)</t>
  </si>
  <si>
    <t>Provincial Road Project (Eastern, Uva, and Northern) (WB)</t>
  </si>
  <si>
    <t>Category / Object / Item
description</t>
  </si>
  <si>
    <t>Northern Road Connectivity Project (Additional Financing) (ADB)</t>
  </si>
  <si>
    <t>Iranamadu Irrigation Development Project  (IFAD)</t>
  </si>
  <si>
    <t>Jaffna Kilinochchi Water Supply and Sanitation Project  (ADB)</t>
  </si>
  <si>
    <t>North Western Province</t>
  </si>
  <si>
    <t>North Central Province</t>
  </si>
  <si>
    <t>Provincial Road Project (Eastern, and North Central) (ADB)</t>
  </si>
  <si>
    <t>Uva Province</t>
  </si>
  <si>
    <t>Sabaragamuwa Province</t>
  </si>
  <si>
    <t>Eastern Province</t>
  </si>
  <si>
    <t>02 - Development Activities</t>
  </si>
  <si>
    <t>Provincial Roads Project (Central &amp; Sabaragamuwa) Provinces (GOSL/JICA)</t>
  </si>
  <si>
    <t>Northern Roads Connectivity Project (GOSL/ADB)</t>
  </si>
  <si>
    <t>Local Government Enhancement Sector Project - "Pura Neguma" (GOSL/ADB)</t>
  </si>
  <si>
    <t>Transforming School Education as the Foundation of a Knowledge Hub Project(TSEP) (GOSL, WB &amp; AusAid)</t>
  </si>
  <si>
    <t>Northern Road Connectivity Project(Additional Financing) (GOSL/ADB)</t>
  </si>
  <si>
    <t>Local Government Enhancement Sector Project - "Pura Neguma"(Additional Financing) (GOSL/ADB)</t>
  </si>
  <si>
    <t>Rural Bridges (GOSL/UK)</t>
  </si>
  <si>
    <t>North East Local Services Improvement Project (GOSL/WB)</t>
  </si>
  <si>
    <t>Construction of 537 Rural Bridges(GOSL/UK)</t>
  </si>
  <si>
    <t>Construction of 463 Rural Bridges - (GOSL/NETHERLAND)</t>
  </si>
  <si>
    <t>Transforming School Education as the Foundation of a Knowledge Hub Project                  (GOSL, WB &amp; AusAid)</t>
  </si>
  <si>
    <t>Health Sector Development Project(GOSL/WB)</t>
  </si>
  <si>
    <t>Actual</t>
  </si>
  <si>
    <t xml:space="preserve"> Actual</t>
  </si>
  <si>
    <t>2017
Revised
Estimate</t>
  </si>
  <si>
    <t>Actual up to 30.06.2017</t>
  </si>
  <si>
    <t>2018 Estimate</t>
  </si>
  <si>
    <t>2018 - 2020
Total</t>
  </si>
  <si>
    <t>Greater Colombo Water and Wastewater Management  Improvement Investment Programme - Tranche 2 (GOSL/ADB)</t>
  </si>
  <si>
    <t xml:space="preserve">          HEAD -  312 Western Provincial Council</t>
  </si>
  <si>
    <t xml:space="preserve">02 - Provincial Development </t>
  </si>
  <si>
    <t xml:space="preserve">          HEAD -  314 Southern Provincial Council</t>
  </si>
  <si>
    <t xml:space="preserve">          HEAD -  313 Central Provincial Council</t>
  </si>
  <si>
    <t xml:space="preserve">          HEAD -  315 Northern Provincial Council</t>
  </si>
  <si>
    <t xml:space="preserve">          HEAD -  316 North Western Provincial Council</t>
  </si>
  <si>
    <t xml:space="preserve">          HEAD -  317 North Central Provincial Council</t>
  </si>
  <si>
    <t xml:space="preserve">          HEAD -  318 Uva Provincial Council</t>
  </si>
  <si>
    <t xml:space="preserve">          HEAD -  319 Sabaragamuwa Provincial Council</t>
  </si>
  <si>
    <t xml:space="preserve">          HEAD -  321 Eastern Provincial Council</t>
  </si>
  <si>
    <t>Greater Colombo Water and Wastewater Management Improvement  Investment Programme - Tranche 3 (GOSL/ADB)</t>
  </si>
  <si>
    <t>Addi. - 20</t>
  </si>
  <si>
    <t>Greater Colombo Water and Wastewater Management Improvement  Investment Programme - Tranche 3 (GOSL/EIB)</t>
  </si>
  <si>
    <r>
      <t>Supply of 190</t>
    </r>
    <r>
      <rPr>
        <b/>
        <sz val="12"/>
        <color indexed="10"/>
        <rFont val="Calibri"/>
        <family val="2"/>
      </rPr>
      <t xml:space="preserve"> </t>
    </r>
    <r>
      <rPr>
        <b/>
        <sz val="12"/>
        <rFont val="Calibri"/>
        <family val="2"/>
      </rPr>
      <t xml:space="preserve">Garbage Collecting Compactors to Local Authority </t>
    </r>
  </si>
  <si>
    <t>Rural Infrastructure Development Project in Emerging Regions (Reach Project) (GOSL/JICA)</t>
  </si>
  <si>
    <t>Requested Amount (Mn)</t>
  </si>
  <si>
    <r>
      <t>Supply of 190</t>
    </r>
    <r>
      <rPr>
        <b/>
        <sz val="12"/>
        <color indexed="10"/>
        <rFont val="Maiandra GD"/>
        <family val="2"/>
      </rPr>
      <t xml:space="preserve"> </t>
    </r>
    <r>
      <rPr>
        <b/>
        <sz val="12"/>
        <rFont val="Maiandra GD"/>
        <family val="2"/>
      </rPr>
      <t xml:space="preserve">Garbage Collecting Compactors to Local Authority </t>
    </r>
  </si>
  <si>
    <t xml:space="preserve">Project </t>
  </si>
  <si>
    <t>Northern Road Connectivity Project(Additional Financing) (Northern Province)</t>
  </si>
  <si>
    <t>Jaffna Kilinochchi Water Supply and Sanitation Project</t>
  </si>
  <si>
    <t>Northern Road Connectivity Project(Additional Financing) (North Central Province)</t>
  </si>
  <si>
    <t>Budget Estimate 2018</t>
  </si>
  <si>
    <t>Foreign Funded Projects</t>
  </si>
  <si>
    <t>Serial</t>
  </si>
  <si>
    <t>No</t>
  </si>
  <si>
    <t>Northern Road Connectivity Project(Additional Financing) (GOSL/ADB) - Cordinationg Unit</t>
  </si>
  <si>
    <t xml:space="preserve">           Northern Province</t>
  </si>
  <si>
    <t xml:space="preserve">           North Western province</t>
  </si>
  <si>
    <t xml:space="preserve">           Central Province</t>
  </si>
  <si>
    <t xml:space="preserve">           Southern Province</t>
  </si>
  <si>
    <t xml:space="preserve">           Cordinationg Unit</t>
  </si>
  <si>
    <t xml:space="preserve">           Western Province</t>
  </si>
  <si>
    <t xml:space="preserve">Health Sector Development Project -(GOSL/WB) </t>
  </si>
  <si>
    <t xml:space="preserve">           North Central Province</t>
  </si>
  <si>
    <t xml:space="preserve">           Uva Province</t>
  </si>
  <si>
    <t xml:space="preserve">           Sabaragamuwa Province</t>
  </si>
  <si>
    <t xml:space="preserve">           Eastern Province</t>
  </si>
  <si>
    <t xml:space="preserve">Total </t>
  </si>
  <si>
    <t>Estimate 2017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</si>
</sst>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Rs.&quot;#,##0_);\(&quot;Rs.&quot;#,##0\)"/>
    <numFmt numFmtId="173" formatCode="&quot;Rs.&quot;#,##0_);[Red]\(&quot;Rs.&quot;#,##0\)"/>
    <numFmt numFmtId="174" formatCode="&quot;Rs.&quot;#,##0.00_);\(&quot;Rs.&quot;#,##0.00\)"/>
    <numFmt numFmtId="175" formatCode="&quot;Rs.&quot;#,##0.00_);[Red]\(&quot;Rs.&quot;#,##0.00\)"/>
    <numFmt numFmtId="176" formatCode="_(&quot;Rs.&quot;* #,##0_);_(&quot;Rs.&quot;* \(#,##0\);_(&quot;Rs.&quot;* &quot;-&quot;_);_(@_)"/>
    <numFmt numFmtId="177" formatCode="_(&quot;Rs.&quot;* #,##0.00_);_(&quot;Rs.&quot;* \(#,##0.00\);_(&quot;Rs.&quot;* &quot;-&quot;??_);_(@_)"/>
    <numFmt numFmtId="178" formatCode="_(* #,##0.000_);_(* \(#,##0.000\);_(* &quot;-&quot;??_);_(@_)"/>
    <numFmt numFmtId="179" formatCode="_(* #,##0.000_);_(* \(#,##0.000\);_(* &quot;-&quot;???_);_(@_)"/>
    <numFmt numFmtId="180" formatCode="0.0"/>
    <numFmt numFmtId="181" formatCode="0.000"/>
    <numFmt numFmtId="182" formatCode="_(* #,##0.0_);_(* \(#,##0.0\);_(* &quot;-&quot;??_);_(@_)"/>
    <numFmt numFmtId="183" formatCode="_(* #,##0_);_(* \(#,##0\);_(* &quot;-&quot;??_);_(@_)"/>
    <numFmt numFmtId="184" formatCode="&quot;*    &quot;_(* #,##0.000_);_(* \(#,##0.000\);_(* &quot;-&quot;??_);_(@_)"/>
    <numFmt numFmtId="185" formatCode="&quot;* &quot;_(* #,##0.000_);_(* \(#,##0.000\);_(* &quot;-&quot;??_);_(@_)"/>
    <numFmt numFmtId="186" formatCode="&quot;*&quot;_(* #,##0.000_);_(* \(#,##0.000\);_(* &quot;-&quot;??_);_(@_)"/>
    <numFmt numFmtId="187" formatCode="###,###,###.000&quot; **&quot;"/>
    <numFmt numFmtId="188" formatCode="&quot;**  &quot;###,###,###.000"/>
    <numFmt numFmtId="189" formatCode="&quot;*&quot;\ _(* #,##0.000_);_(* \(#,##0.000\);_(* &quot;-&quot;??_);_(@_)"/>
    <numFmt numFmtId="190" formatCode="_(* #,##0.0000_);_(* \(#,##0.0000\);_(* &quot;-&quot;??_);_(@_)"/>
    <numFmt numFmtId="191" formatCode="#,##0.000_);\(#,##0.000\)"/>
    <numFmt numFmtId="192" formatCode="#,##0.0_);\(#,##0.0\)"/>
    <numFmt numFmtId="193" formatCode="#,##0.0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000_);\(#,##0.0000\)"/>
    <numFmt numFmtId="199" formatCode="#,##0.00000_);\(#,##0.00000\)"/>
    <numFmt numFmtId="200" formatCode="#,##0.000000_);\(#,##0.000000\)"/>
    <numFmt numFmtId="201" formatCode="#,##0.0000000_);\(#,##0.0000000\)"/>
    <numFmt numFmtId="202" formatCode="#,##0.00000000_);\(#,##0.00000000\)"/>
    <numFmt numFmtId="203" formatCode="#,##0.000000000_);\(#,##0.000000000\)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_(* #,##0.00000000_);_(* \(#,##0.00000000\);_(* &quot;-&quot;??_);_(@_)"/>
    <numFmt numFmtId="208" formatCode="_-* #,##0.000_-;\-* #,##0.000_-;_-* &quot;-&quot;???_-;_-@_-"/>
    <numFmt numFmtId="209" formatCode="_(* #,##0.000000000_);_(* \(#,##0.000000000\);_(* &quot;-&quot;?????????_);_(@_)"/>
    <numFmt numFmtId="210" formatCode="#,##0.0"/>
    <numFmt numFmtId="211" formatCode="&quot;$&quot;#,##0"/>
    <numFmt numFmtId="212" formatCode="#,##0.00;[Red]#,##0.00"/>
    <numFmt numFmtId="213" formatCode="_(* #,##0.0_);_(* \(#,##0.0\);_(* &quot;-&quot;?_);_(@_)"/>
  </numFmts>
  <fonts count="80">
    <font>
      <sz val="10"/>
      <name val="Arial"/>
      <family val="0"/>
    </font>
    <font>
      <sz val="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name val="Cambria"/>
      <family val="1"/>
    </font>
    <font>
      <sz val="12"/>
      <name val="Arial"/>
      <family val="2"/>
    </font>
    <font>
      <b/>
      <sz val="13"/>
      <name val="Calibri"/>
      <family val="2"/>
    </font>
    <font>
      <sz val="13"/>
      <name val="Calibri"/>
      <family val="2"/>
    </font>
    <font>
      <sz val="14"/>
      <name val="Calibri"/>
      <family val="2"/>
    </font>
    <font>
      <b/>
      <sz val="12.5"/>
      <name val="Calibri"/>
      <family val="2"/>
    </font>
    <font>
      <sz val="12.5"/>
      <name val="Calibri"/>
      <family val="2"/>
    </font>
    <font>
      <b/>
      <sz val="11"/>
      <name val="Times New Roman"/>
      <family val="1"/>
    </font>
    <font>
      <sz val="14"/>
      <name val="Cambria"/>
      <family val="1"/>
    </font>
    <font>
      <b/>
      <sz val="12"/>
      <color indexed="10"/>
      <name val="Calibri"/>
      <family val="2"/>
    </font>
    <font>
      <sz val="14"/>
      <name val="Maiandra GD"/>
      <family val="2"/>
    </font>
    <font>
      <b/>
      <sz val="12"/>
      <name val="Maiandra GD"/>
      <family val="2"/>
    </font>
    <font>
      <sz val="13"/>
      <name val="Maiandra GD"/>
      <family val="2"/>
    </font>
    <font>
      <b/>
      <sz val="14"/>
      <name val="Maiandra GD"/>
      <family val="2"/>
    </font>
    <font>
      <sz val="12"/>
      <name val="Maiandra GD"/>
      <family val="2"/>
    </font>
    <font>
      <b/>
      <sz val="13"/>
      <name val="Maiandra GD"/>
      <family val="2"/>
    </font>
    <font>
      <b/>
      <sz val="12.5"/>
      <name val="Maiandra GD"/>
      <family val="2"/>
    </font>
    <font>
      <b/>
      <sz val="12"/>
      <color indexed="10"/>
      <name val="Maiandra G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Calibri"/>
      <family val="2"/>
    </font>
    <font>
      <sz val="13"/>
      <color indexed="10"/>
      <name val="Calibri"/>
      <family val="2"/>
    </font>
    <font>
      <b/>
      <sz val="13"/>
      <color indexed="10"/>
      <name val="Calibri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sz val="10"/>
      <color indexed="10"/>
      <name val="Arial"/>
      <family val="2"/>
    </font>
    <font>
      <sz val="12.5"/>
      <color indexed="10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10"/>
      <name val="Maiandra GD"/>
      <family val="2"/>
    </font>
    <font>
      <b/>
      <sz val="13"/>
      <color indexed="10"/>
      <name val="Maiandra G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sz val="10"/>
      <color rgb="FFFF0000"/>
      <name val="Arial"/>
      <family val="2"/>
    </font>
    <font>
      <sz val="12.5"/>
      <color rgb="FFFF0000"/>
      <name val="Arial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Maiandra GD"/>
      <family val="2"/>
    </font>
    <font>
      <b/>
      <sz val="13"/>
      <color rgb="FFFF0000"/>
      <name val="Maiandra GD"/>
      <family val="2"/>
    </font>
    <font>
      <b/>
      <sz val="12"/>
      <color rgb="FFFF0000"/>
      <name val="Maiandra GD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DBDFF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A7C4FF"/>
        <bgColor indexed="64"/>
      </patternFill>
    </fill>
    <fill>
      <patternFill patternType="solid">
        <fgColor rgb="FFAFCA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A4C6F8"/>
        <bgColor indexed="64"/>
      </patternFill>
    </fill>
    <fill>
      <patternFill patternType="solid">
        <fgColor rgb="FF71A0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542">
    <xf numFmtId="0" fontId="0" fillId="0" borderId="0" xfId="0" applyAlignment="1">
      <alignment/>
    </xf>
    <xf numFmtId="0" fontId="3" fillId="33" borderId="0" xfId="0" applyFont="1" applyFill="1" applyAlignment="1">
      <alignment/>
    </xf>
    <xf numFmtId="183" fontId="2" fillId="0" borderId="0" xfId="42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Alignment="1">
      <alignment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83" fontId="2" fillId="0" borderId="0" xfId="42" applyNumberFormat="1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183" fontId="3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183" fontId="3" fillId="0" borderId="10" xfId="42" applyNumberFormat="1" applyFont="1" applyBorder="1" applyAlignment="1">
      <alignment/>
    </xf>
    <xf numFmtId="0" fontId="3" fillId="33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183" fontId="2" fillId="0" borderId="11" xfId="42" applyNumberFormat="1" applyFont="1" applyBorder="1" applyAlignment="1">
      <alignment/>
    </xf>
    <xf numFmtId="183" fontId="3" fillId="0" borderId="10" xfId="42" applyNumberFormat="1" applyFont="1" applyFill="1" applyBorder="1" applyAlignment="1">
      <alignment/>
    </xf>
    <xf numFmtId="183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183" fontId="6" fillId="0" borderId="0" xfId="42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3" fontId="3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" fontId="6" fillId="0" borderId="11" xfId="42" applyNumberFormat="1" applyFont="1" applyBorder="1" applyAlignment="1">
      <alignment/>
    </xf>
    <xf numFmtId="3" fontId="3" fillId="0" borderId="0" xfId="42" applyNumberFormat="1" applyFont="1" applyBorder="1" applyAlignment="1">
      <alignment/>
    </xf>
    <xf numFmtId="3" fontId="3" fillId="0" borderId="10" xfId="42" applyNumberFormat="1" applyFont="1" applyBorder="1" applyAlignment="1">
      <alignment/>
    </xf>
    <xf numFmtId="3" fontId="3" fillId="0" borderId="0" xfId="0" applyNumberFormat="1" applyFont="1" applyFill="1" applyAlignment="1">
      <alignment/>
    </xf>
    <xf numFmtId="3" fontId="2" fillId="0" borderId="0" xfId="42" applyNumberFormat="1" applyFont="1" applyBorder="1" applyAlignment="1">
      <alignment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 vertical="center" wrapText="1"/>
    </xf>
    <xf numFmtId="183" fontId="6" fillId="0" borderId="11" xfId="42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/>
    </xf>
    <xf numFmtId="183" fontId="3" fillId="0" borderId="0" xfId="42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1" xfId="0" applyFont="1" applyFill="1" applyBorder="1" applyAlignment="1">
      <alignment vertical="center" wrapText="1"/>
    </xf>
    <xf numFmtId="183" fontId="6" fillId="0" borderId="11" xfId="42" applyNumberFormat="1" applyFont="1" applyBorder="1" applyAlignment="1">
      <alignment/>
    </xf>
    <xf numFmtId="183" fontId="2" fillId="0" borderId="0" xfId="42" applyNumberFormat="1" applyFont="1" applyBorder="1" applyAlignment="1">
      <alignment vertical="center"/>
    </xf>
    <xf numFmtId="0" fontId="6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/>
    </xf>
    <xf numFmtId="183" fontId="3" fillId="0" borderId="11" xfId="42" applyNumberFormat="1" applyFont="1" applyBorder="1" applyAlignment="1">
      <alignment/>
    </xf>
    <xf numFmtId="3" fontId="3" fillId="0" borderId="11" xfId="42" applyNumberFormat="1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3" fontId="3" fillId="0" borderId="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183" fontId="7" fillId="0" borderId="0" xfId="42" applyNumberFormat="1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183" fontId="3" fillId="0" borderId="15" xfId="42" applyNumberFormat="1" applyFont="1" applyFill="1" applyBorder="1" applyAlignment="1">
      <alignment/>
    </xf>
    <xf numFmtId="183" fontId="6" fillId="0" borderId="16" xfId="42" applyNumberFormat="1" applyFont="1" applyBorder="1" applyAlignment="1">
      <alignment/>
    </xf>
    <xf numFmtId="183" fontId="3" fillId="0" borderId="0" xfId="42" applyNumberFormat="1" applyFont="1" applyFill="1" applyBorder="1" applyAlignment="1">
      <alignment vertical="center"/>
    </xf>
    <xf numFmtId="183" fontId="3" fillId="0" borderId="15" xfId="42" applyNumberFormat="1" applyFont="1" applyBorder="1" applyAlignment="1">
      <alignment/>
    </xf>
    <xf numFmtId="183" fontId="3" fillId="0" borderId="10" xfId="42" applyNumberFormat="1" applyFont="1" applyFill="1" applyBorder="1" applyAlignment="1">
      <alignment vertical="center"/>
    </xf>
    <xf numFmtId="183" fontId="3" fillId="0" borderId="17" xfId="42" applyNumberFormat="1" applyFont="1" applyBorder="1" applyAlignment="1">
      <alignment vertical="center"/>
    </xf>
    <xf numFmtId="183" fontId="3" fillId="0" borderId="15" xfId="42" applyNumberFormat="1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183" fontId="6" fillId="0" borderId="16" xfId="42" applyNumberFormat="1" applyFont="1" applyBorder="1" applyAlignment="1">
      <alignment/>
    </xf>
    <xf numFmtId="183" fontId="6" fillId="0" borderId="11" xfId="42" applyNumberFormat="1" applyFont="1" applyFill="1" applyBorder="1" applyAlignment="1">
      <alignment/>
    </xf>
    <xf numFmtId="3" fontId="6" fillId="0" borderId="16" xfId="42" applyNumberFormat="1" applyFont="1" applyBorder="1" applyAlignment="1">
      <alignment/>
    </xf>
    <xf numFmtId="183" fontId="6" fillId="0" borderId="16" xfId="42" applyNumberFormat="1" applyFont="1" applyFill="1" applyBorder="1" applyAlignment="1">
      <alignment/>
    </xf>
    <xf numFmtId="0" fontId="2" fillId="0" borderId="13" xfId="0" applyFont="1" applyBorder="1" applyAlignment="1">
      <alignment horizontal="center" vertical="center"/>
    </xf>
    <xf numFmtId="183" fontId="3" fillId="0" borderId="15" xfId="42" applyNumberFormat="1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183" fontId="2" fillId="0" borderId="15" xfId="42" applyNumberFormat="1" applyFont="1" applyBorder="1" applyAlignment="1">
      <alignment/>
    </xf>
    <xf numFmtId="183" fontId="3" fillId="0" borderId="17" xfId="42" applyNumberFormat="1" applyFont="1" applyBorder="1" applyAlignment="1">
      <alignment/>
    </xf>
    <xf numFmtId="183" fontId="9" fillId="0" borderId="11" xfId="42" applyNumberFormat="1" applyFont="1" applyBorder="1" applyAlignment="1">
      <alignment/>
    </xf>
    <xf numFmtId="183" fontId="9" fillId="0" borderId="16" xfId="42" applyNumberFormat="1" applyFont="1" applyFill="1" applyBorder="1" applyAlignment="1">
      <alignment/>
    </xf>
    <xf numFmtId="183" fontId="3" fillId="0" borderId="17" xfId="42" applyNumberFormat="1" applyFont="1" applyFill="1" applyBorder="1" applyAlignment="1">
      <alignment/>
    </xf>
    <xf numFmtId="183" fontId="2" fillId="0" borderId="15" xfId="42" applyNumberFormat="1" applyFont="1" applyFill="1" applyBorder="1" applyAlignment="1">
      <alignment/>
    </xf>
    <xf numFmtId="0" fontId="3" fillId="0" borderId="18" xfId="0" applyFont="1" applyFill="1" applyBorder="1" applyAlignment="1">
      <alignment horizontal="center" vertical="center"/>
    </xf>
    <xf numFmtId="183" fontId="2" fillId="0" borderId="16" xfId="42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183" fontId="6" fillId="0" borderId="15" xfId="42" applyNumberFormat="1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3" fontId="2" fillId="0" borderId="0" xfId="42" applyNumberFormat="1" applyFont="1" applyFill="1" applyBorder="1" applyAlignment="1" quotePrefix="1">
      <alignment/>
    </xf>
    <xf numFmtId="3" fontId="3" fillId="0" borderId="0" xfId="42" applyNumberFormat="1" applyFont="1" applyFill="1" applyBorder="1" applyAlignment="1" quotePrefix="1">
      <alignment/>
    </xf>
    <xf numFmtId="3" fontId="3" fillId="0" borderId="10" xfId="42" applyNumberFormat="1" applyFont="1" applyFill="1" applyBorder="1" applyAlignment="1" quotePrefix="1">
      <alignment/>
    </xf>
    <xf numFmtId="3" fontId="2" fillId="0" borderId="15" xfId="42" applyNumberFormat="1" applyFont="1" applyFill="1" applyBorder="1" applyAlignment="1" quotePrefix="1">
      <alignment/>
    </xf>
    <xf numFmtId="3" fontId="3" fillId="0" borderId="15" xfId="42" applyNumberFormat="1" applyFont="1" applyFill="1" applyBorder="1" applyAlignment="1" quotePrefix="1">
      <alignment/>
    </xf>
    <xf numFmtId="0" fontId="2" fillId="0" borderId="0" xfId="0" applyFont="1" applyBorder="1" applyAlignment="1">
      <alignment horizontal="left" vertical="center" wrapText="1"/>
    </xf>
    <xf numFmtId="183" fontId="3" fillId="0" borderId="0" xfId="42" applyNumberFormat="1" applyFont="1" applyFill="1" applyBorder="1" applyAlignment="1" quotePrefix="1">
      <alignment/>
    </xf>
    <xf numFmtId="0" fontId="5" fillId="0" borderId="15" xfId="0" applyFont="1" applyBorder="1" applyAlignment="1">
      <alignment/>
    </xf>
    <xf numFmtId="3" fontId="3" fillId="0" borderId="0" xfId="0" applyNumberFormat="1" applyFont="1" applyFill="1" applyBorder="1" applyAlignment="1">
      <alignment/>
    </xf>
    <xf numFmtId="183" fontId="3" fillId="0" borderId="17" xfId="42" applyNumberFormat="1" applyFont="1" applyBorder="1" applyAlignment="1">
      <alignment/>
    </xf>
    <xf numFmtId="183" fontId="3" fillId="0" borderId="0" xfId="42" applyNumberFormat="1" applyFont="1" applyBorder="1" applyAlignment="1">
      <alignment/>
    </xf>
    <xf numFmtId="3" fontId="2" fillId="0" borderId="15" xfId="42" applyNumberFormat="1" applyFont="1" applyBorder="1" applyAlignment="1">
      <alignment/>
    </xf>
    <xf numFmtId="3" fontId="3" fillId="0" borderId="11" xfId="42" applyNumberFormat="1" applyFont="1" applyFill="1" applyBorder="1" applyAlignment="1" quotePrefix="1">
      <alignment/>
    </xf>
    <xf numFmtId="183" fontId="3" fillId="0" borderId="10" xfId="42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9" fillId="0" borderId="0" xfId="42" applyNumberFormat="1" applyFont="1" applyFill="1" applyBorder="1" applyAlignment="1" quotePrefix="1">
      <alignment/>
    </xf>
    <xf numFmtId="3" fontId="9" fillId="0" borderId="11" xfId="42" applyNumberFormat="1" applyFont="1" applyBorder="1" applyAlignment="1">
      <alignment/>
    </xf>
    <xf numFmtId="183" fontId="9" fillId="0" borderId="11" xfId="42" applyNumberFormat="1" applyFont="1" applyFill="1" applyBorder="1" applyAlignment="1">
      <alignment/>
    </xf>
    <xf numFmtId="183" fontId="9" fillId="0" borderId="16" xfId="42" applyNumberFormat="1" applyFont="1" applyBorder="1" applyAlignment="1">
      <alignment/>
    </xf>
    <xf numFmtId="183" fontId="9" fillId="0" borderId="16" xfId="42" applyNumberFormat="1" applyFont="1" applyBorder="1" applyAlignment="1">
      <alignment/>
    </xf>
    <xf numFmtId="3" fontId="9" fillId="0" borderId="15" xfId="42" applyNumberFormat="1" applyFont="1" applyFill="1" applyBorder="1" applyAlignment="1" quotePrefix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vertical="center" wrapText="1"/>
    </xf>
    <xf numFmtId="183" fontId="6" fillId="0" borderId="0" xfId="42" applyNumberFormat="1" applyFont="1" applyBorder="1" applyAlignment="1">
      <alignment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83" fontId="6" fillId="0" borderId="0" xfId="42" applyNumberFormat="1" applyFont="1" applyFill="1" applyBorder="1" applyAlignment="1" quotePrefix="1">
      <alignment horizontal="left"/>
    </xf>
    <xf numFmtId="183" fontId="6" fillId="0" borderId="15" xfId="42" applyNumberFormat="1" applyFont="1" applyFill="1" applyBorder="1" applyAlignment="1" quotePrefix="1">
      <alignment horizontal="left"/>
    </xf>
    <xf numFmtId="183" fontId="0" fillId="0" borderId="0" xfId="0" applyNumberFormat="1" applyAlignment="1">
      <alignment/>
    </xf>
    <xf numFmtId="0" fontId="6" fillId="0" borderId="0" xfId="0" applyFont="1" applyFill="1" applyBorder="1" applyAlignment="1">
      <alignment horizontal="left"/>
    </xf>
    <xf numFmtId="183" fontId="67" fillId="0" borderId="0" xfId="42" applyNumberFormat="1" applyFont="1" applyBorder="1" applyAlignment="1">
      <alignment/>
    </xf>
    <xf numFmtId="183" fontId="67" fillId="0" borderId="0" xfId="42" applyNumberFormat="1" applyFont="1" applyFill="1" applyBorder="1" applyAlignment="1">
      <alignment vertical="center"/>
    </xf>
    <xf numFmtId="3" fontId="67" fillId="0" borderId="0" xfId="42" applyNumberFormat="1" applyFont="1" applyFill="1" applyBorder="1" applyAlignment="1">
      <alignment vertical="center"/>
    </xf>
    <xf numFmtId="183" fontId="67" fillId="0" borderId="10" xfId="42" applyNumberFormat="1" applyFont="1" applyBorder="1" applyAlignment="1">
      <alignment/>
    </xf>
    <xf numFmtId="3" fontId="67" fillId="0" borderId="10" xfId="42" applyNumberFormat="1" applyFont="1" applyBorder="1" applyAlignment="1">
      <alignment/>
    </xf>
    <xf numFmtId="183" fontId="67" fillId="0" borderId="10" xfId="42" applyNumberFormat="1" applyFont="1" applyFill="1" applyBorder="1" applyAlignment="1">
      <alignment vertical="center"/>
    </xf>
    <xf numFmtId="3" fontId="67" fillId="0" borderId="10" xfId="42" applyNumberFormat="1" applyFont="1" applyFill="1" applyBorder="1" applyAlignment="1">
      <alignment vertical="center"/>
    </xf>
    <xf numFmtId="43" fontId="3" fillId="0" borderId="0" xfId="42" applyFont="1" applyAlignment="1">
      <alignment/>
    </xf>
    <xf numFmtId="0" fontId="67" fillId="0" borderId="12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/>
    </xf>
    <xf numFmtId="0" fontId="68" fillId="0" borderId="0" xfId="0" applyFont="1" applyFill="1" applyBorder="1" applyAlignment="1">
      <alignment horizontal="left"/>
    </xf>
    <xf numFmtId="0" fontId="69" fillId="0" borderId="0" xfId="0" applyFont="1" applyFill="1" applyBorder="1" applyAlignment="1">
      <alignment horizontal="left"/>
    </xf>
    <xf numFmtId="183" fontId="69" fillId="0" borderId="0" xfId="42" applyNumberFormat="1" applyFont="1" applyFill="1" applyBorder="1" applyAlignment="1" quotePrefix="1">
      <alignment horizontal="left"/>
    </xf>
    <xf numFmtId="183" fontId="69" fillId="0" borderId="15" xfId="42" applyNumberFormat="1" applyFont="1" applyFill="1" applyBorder="1" applyAlignment="1" quotePrefix="1">
      <alignment horizontal="left"/>
    </xf>
    <xf numFmtId="0" fontId="67" fillId="0" borderId="0" xfId="0" applyFont="1" applyAlignment="1">
      <alignment/>
    </xf>
    <xf numFmtId="43" fontId="67" fillId="0" borderId="0" xfId="42" applyFont="1" applyAlignment="1">
      <alignment/>
    </xf>
    <xf numFmtId="0" fontId="69" fillId="0" borderId="0" xfId="0" applyFont="1" applyFill="1" applyBorder="1" applyAlignment="1">
      <alignment horizontal="left" wrapText="1"/>
    </xf>
    <xf numFmtId="183" fontId="69" fillId="0" borderId="0" xfId="42" applyNumberFormat="1" applyFont="1" applyFill="1" applyBorder="1" applyAlignment="1">
      <alignment horizontal="left"/>
    </xf>
    <xf numFmtId="0" fontId="70" fillId="0" borderId="0" xfId="0" applyFont="1" applyBorder="1" applyAlignment="1">
      <alignment wrapText="1"/>
    </xf>
    <xf numFmtId="0" fontId="67" fillId="0" borderId="0" xfId="0" applyFont="1" applyBorder="1" applyAlignment="1">
      <alignment/>
    </xf>
    <xf numFmtId="0" fontId="67" fillId="0" borderId="0" xfId="0" applyFont="1" applyBorder="1" applyAlignment="1">
      <alignment horizontal="center" wrapText="1"/>
    </xf>
    <xf numFmtId="183" fontId="67" fillId="0" borderId="0" xfId="42" applyNumberFormat="1" applyFont="1" applyBorder="1" applyAlignment="1">
      <alignment/>
    </xf>
    <xf numFmtId="183" fontId="67" fillId="0" borderId="15" xfId="42" applyNumberFormat="1" applyFont="1" applyBorder="1" applyAlignment="1">
      <alignment/>
    </xf>
    <xf numFmtId="0" fontId="67" fillId="0" borderId="14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/>
    </xf>
    <xf numFmtId="0" fontId="67" fillId="0" borderId="10" xfId="0" applyFont="1" applyBorder="1" applyAlignment="1">
      <alignment/>
    </xf>
    <xf numFmtId="0" fontId="67" fillId="0" borderId="10" xfId="0" applyFont="1" applyBorder="1" applyAlignment="1">
      <alignment horizontal="center" wrapText="1"/>
    </xf>
    <xf numFmtId="183" fontId="67" fillId="0" borderId="17" xfId="42" applyNumberFormat="1" applyFont="1" applyFill="1" applyBorder="1" applyAlignment="1">
      <alignment vertical="center"/>
    </xf>
    <xf numFmtId="183" fontId="67" fillId="0" borderId="15" xfId="42" applyNumberFormat="1" applyFont="1" applyFill="1" applyBorder="1" applyAlignment="1">
      <alignment vertical="center"/>
    </xf>
    <xf numFmtId="0" fontId="71" fillId="0" borderId="12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Alignment="1">
      <alignment/>
    </xf>
    <xf numFmtId="0" fontId="72" fillId="0" borderId="13" xfId="0" applyFont="1" applyBorder="1" applyAlignment="1">
      <alignment horizontal="center" vertical="center"/>
    </xf>
    <xf numFmtId="0" fontId="72" fillId="0" borderId="12" xfId="0" applyFont="1" applyBorder="1" applyAlignment="1">
      <alignment horizontal="center" vertical="center"/>
    </xf>
    <xf numFmtId="0" fontId="71" fillId="0" borderId="12" xfId="0" applyFont="1" applyFill="1" applyBorder="1" applyAlignment="1">
      <alignment horizontal="center" vertical="center"/>
    </xf>
    <xf numFmtId="3" fontId="71" fillId="0" borderId="0" xfId="0" applyNumberFormat="1" applyFont="1" applyAlignment="1">
      <alignment/>
    </xf>
    <xf numFmtId="0" fontId="3" fillId="34" borderId="0" xfId="0" applyFont="1" applyFill="1" applyAlignment="1">
      <alignment/>
    </xf>
    <xf numFmtId="183" fontId="3" fillId="0" borderId="11" xfId="42" applyNumberFormat="1" applyFont="1" applyFill="1" applyBorder="1" applyAlignment="1">
      <alignment/>
    </xf>
    <xf numFmtId="183" fontId="2" fillId="0" borderId="16" xfId="42" applyNumberFormat="1" applyFont="1" applyBorder="1" applyAlignment="1">
      <alignment horizontal="right" vertical="center"/>
    </xf>
    <xf numFmtId="0" fontId="71" fillId="0" borderId="0" xfId="0" applyFont="1" applyFill="1" applyAlignment="1">
      <alignment/>
    </xf>
    <xf numFmtId="0" fontId="71" fillId="8" borderId="19" xfId="0" applyFont="1" applyFill="1" applyBorder="1" applyAlignment="1">
      <alignment horizontal="center" vertical="center"/>
    </xf>
    <xf numFmtId="0" fontId="72" fillId="8" borderId="19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left"/>
    </xf>
    <xf numFmtId="0" fontId="7" fillId="8" borderId="18" xfId="0" applyFont="1" applyFill="1" applyBorder="1" applyAlignment="1">
      <alignment horizontal="left"/>
    </xf>
    <xf numFmtId="0" fontId="6" fillId="8" borderId="18" xfId="0" applyFont="1" applyFill="1" applyBorder="1" applyAlignment="1">
      <alignment horizontal="left"/>
    </xf>
    <xf numFmtId="183" fontId="6" fillId="8" borderId="18" xfId="42" applyNumberFormat="1" applyFont="1" applyFill="1" applyBorder="1" applyAlignment="1" quotePrefix="1">
      <alignment horizontal="left"/>
    </xf>
    <xf numFmtId="0" fontId="6" fillId="8" borderId="11" xfId="0" applyFont="1" applyFill="1" applyBorder="1" applyAlignment="1">
      <alignment horizontal="center" vertical="top"/>
    </xf>
    <xf numFmtId="0" fontId="6" fillId="8" borderId="16" xfId="0" applyFont="1" applyFill="1" applyBorder="1" applyAlignment="1">
      <alignment horizontal="center" vertical="top" wrapText="1"/>
    </xf>
    <xf numFmtId="0" fontId="6" fillId="8" borderId="15" xfId="0" applyFont="1" applyFill="1" applyBorder="1" applyAlignment="1">
      <alignment vertical="top"/>
    </xf>
    <xf numFmtId="0" fontId="6" fillId="8" borderId="17" xfId="0" applyFont="1" applyFill="1" applyBorder="1" applyAlignment="1">
      <alignment vertical="top"/>
    </xf>
    <xf numFmtId="183" fontId="6" fillId="8" borderId="11" xfId="42" applyNumberFormat="1" applyFont="1" applyFill="1" applyBorder="1" applyAlignment="1">
      <alignment/>
    </xf>
    <xf numFmtId="183" fontId="2" fillId="8" borderId="0" xfId="42" applyNumberFormat="1" applyFont="1" applyFill="1" applyBorder="1" applyAlignment="1">
      <alignment/>
    </xf>
    <xf numFmtId="183" fontId="3" fillId="8" borderId="0" xfId="42" applyNumberFormat="1" applyFont="1" applyFill="1" applyBorder="1" applyAlignment="1">
      <alignment/>
    </xf>
    <xf numFmtId="183" fontId="3" fillId="8" borderId="10" xfId="42" applyNumberFormat="1" applyFont="1" applyFill="1" applyBorder="1" applyAlignment="1">
      <alignment/>
    </xf>
    <xf numFmtId="183" fontId="9" fillId="8" borderId="11" xfId="42" applyNumberFormat="1" applyFont="1" applyFill="1" applyBorder="1" applyAlignment="1">
      <alignment/>
    </xf>
    <xf numFmtId="0" fontId="6" fillId="35" borderId="10" xfId="0" applyFont="1" applyFill="1" applyBorder="1" applyAlignment="1">
      <alignment vertical="top"/>
    </xf>
    <xf numFmtId="3" fontId="6" fillId="35" borderId="10" xfId="0" applyNumberFormat="1" applyFont="1" applyFill="1" applyBorder="1" applyAlignment="1">
      <alignment vertical="top"/>
    </xf>
    <xf numFmtId="183" fontId="6" fillId="8" borderId="18" xfId="42" applyNumberFormat="1" applyFont="1" applyFill="1" applyBorder="1" applyAlignment="1" quotePrefix="1">
      <alignment/>
    </xf>
    <xf numFmtId="183" fontId="6" fillId="8" borderId="18" xfId="42" applyNumberFormat="1" applyFont="1" applyFill="1" applyBorder="1" applyAlignment="1">
      <alignment/>
    </xf>
    <xf numFmtId="0" fontId="3" fillId="8" borderId="18" xfId="0" applyFont="1" applyFill="1" applyBorder="1" applyAlignment="1">
      <alignment/>
    </xf>
    <xf numFmtId="0" fontId="2" fillId="8" borderId="18" xfId="0" applyFont="1" applyFill="1" applyBorder="1" applyAlignment="1">
      <alignment/>
    </xf>
    <xf numFmtId="0" fontId="2" fillId="8" borderId="18" xfId="0" applyFont="1" applyFill="1" applyBorder="1" applyAlignment="1">
      <alignment horizontal="left"/>
    </xf>
    <xf numFmtId="183" fontId="6" fillId="8" borderId="20" xfId="42" applyNumberFormat="1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3" fillId="0" borderId="18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183" fontId="6" fillId="0" borderId="18" xfId="42" applyNumberFormat="1" applyFont="1" applyFill="1" applyBorder="1" applyAlignment="1" quotePrefix="1">
      <alignment horizontal="left"/>
    </xf>
    <xf numFmtId="183" fontId="6" fillId="0" borderId="20" xfId="42" applyNumberFormat="1" applyFont="1" applyFill="1" applyBorder="1" applyAlignment="1" quotePrefix="1">
      <alignment horizontal="left"/>
    </xf>
    <xf numFmtId="43" fontId="0" fillId="0" borderId="0" xfId="42" applyFont="1" applyAlignment="1">
      <alignment/>
    </xf>
    <xf numFmtId="0" fontId="2" fillId="0" borderId="0" xfId="0" applyFont="1" applyFill="1" applyBorder="1" applyAlignment="1">
      <alignment horizontal="left"/>
    </xf>
    <xf numFmtId="3" fontId="3" fillId="0" borderId="17" xfId="42" applyNumberFormat="1" applyFont="1" applyFill="1" applyBorder="1" applyAlignment="1" quotePrefix="1">
      <alignment/>
    </xf>
    <xf numFmtId="3" fontId="3" fillId="0" borderId="16" xfId="42" applyNumberFormat="1" applyFont="1" applyFill="1" applyBorder="1" applyAlignment="1" quotePrefix="1">
      <alignment/>
    </xf>
    <xf numFmtId="3" fontId="3" fillId="0" borderId="15" xfId="0" applyNumberFormat="1" applyFont="1" applyBorder="1" applyAlignment="1">
      <alignment/>
    </xf>
    <xf numFmtId="0" fontId="2" fillId="36" borderId="19" xfId="0" applyFont="1" applyFill="1" applyBorder="1" applyAlignment="1">
      <alignment/>
    </xf>
    <xf numFmtId="0" fontId="3" fillId="36" borderId="18" xfId="0" applyFont="1" applyFill="1" applyBorder="1" applyAlignment="1">
      <alignment horizontal="center" vertical="center"/>
    </xf>
    <xf numFmtId="0" fontId="3" fillId="36" borderId="18" xfId="0" applyFont="1" applyFill="1" applyBorder="1" applyAlignment="1">
      <alignment horizontal="left"/>
    </xf>
    <xf numFmtId="0" fontId="2" fillId="36" borderId="18" xfId="0" applyFont="1" applyFill="1" applyBorder="1" applyAlignment="1">
      <alignment horizontal="left"/>
    </xf>
    <xf numFmtId="183" fontId="6" fillId="36" borderId="18" xfId="42" applyNumberFormat="1" applyFont="1" applyFill="1" applyBorder="1" applyAlignment="1" quotePrefix="1">
      <alignment horizontal="left"/>
    </xf>
    <xf numFmtId="0" fontId="6" fillId="36" borderId="11" xfId="0" applyFont="1" applyFill="1" applyBorder="1" applyAlignment="1">
      <alignment horizontal="center" vertical="center"/>
    </xf>
    <xf numFmtId="183" fontId="6" fillId="36" borderId="15" xfId="42" applyNumberFormat="1" applyFont="1" applyFill="1" applyBorder="1" applyAlignment="1" quotePrefix="1">
      <alignment vertical="center"/>
    </xf>
    <xf numFmtId="183" fontId="3" fillId="0" borderId="11" xfId="42" applyNumberFormat="1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183" fontId="6" fillId="36" borderId="20" xfId="42" applyNumberFormat="1" applyFont="1" applyFill="1" applyBorder="1" applyAlignment="1" quotePrefix="1">
      <alignment horizontal="left"/>
    </xf>
    <xf numFmtId="183" fontId="6" fillId="0" borderId="16" xfId="42" applyNumberFormat="1" applyFont="1" applyFill="1" applyBorder="1" applyAlignment="1" quotePrefix="1">
      <alignment horizontal="left"/>
    </xf>
    <xf numFmtId="3" fontId="3" fillId="0" borderId="20" xfId="0" applyNumberFormat="1" applyFont="1" applyBorder="1" applyAlignment="1">
      <alignment/>
    </xf>
    <xf numFmtId="183" fontId="6" fillId="8" borderId="20" xfId="42" applyNumberFormat="1" applyFont="1" applyFill="1" applyBorder="1" applyAlignment="1" quotePrefix="1">
      <alignment horizontal="left"/>
    </xf>
    <xf numFmtId="43" fontId="11" fillId="0" borderId="0" xfId="42" applyFont="1" applyFill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43" fontId="3" fillId="0" borderId="0" xfId="42" applyFont="1" applyFill="1" applyAlignment="1">
      <alignment/>
    </xf>
    <xf numFmtId="43" fontId="73" fillId="0" borderId="0" xfId="42" applyFont="1" applyAlignment="1">
      <alignment/>
    </xf>
    <xf numFmtId="43" fontId="74" fillId="0" borderId="0" xfId="42" applyFont="1" applyAlignment="1">
      <alignment/>
    </xf>
    <xf numFmtId="43" fontId="73" fillId="0" borderId="0" xfId="42" applyFont="1" applyFill="1" applyAlignment="1">
      <alignment/>
    </xf>
    <xf numFmtId="43" fontId="0" fillId="0" borderId="0" xfId="42" applyFont="1" applyAlignment="1">
      <alignment/>
    </xf>
    <xf numFmtId="183" fontId="6" fillId="36" borderId="17" xfId="42" applyNumberFormat="1" applyFont="1" applyFill="1" applyBorder="1" applyAlignment="1" quotePrefix="1">
      <alignment vertical="center"/>
    </xf>
    <xf numFmtId="183" fontId="6" fillId="8" borderId="20" xfId="42" applyNumberFormat="1" applyFont="1" applyFill="1" applyBorder="1" applyAlignment="1" quotePrefix="1">
      <alignment/>
    </xf>
    <xf numFmtId="3" fontId="3" fillId="0" borderId="16" xfId="0" applyNumberFormat="1" applyFont="1" applyBorder="1" applyAlignment="1">
      <alignment/>
    </xf>
    <xf numFmtId="0" fontId="6" fillId="8" borderId="11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horizontal="center" vertical="top" wrapText="1"/>
    </xf>
    <xf numFmtId="0" fontId="6" fillId="36" borderId="11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vertical="top" wrapText="1"/>
    </xf>
    <xf numFmtId="0" fontId="6" fillId="36" borderId="10" xfId="0" applyFont="1" applyFill="1" applyBorder="1" applyAlignment="1">
      <alignment vertical="center" wrapText="1"/>
    </xf>
    <xf numFmtId="212" fontId="3" fillId="0" borderId="0" xfId="42" applyNumberFormat="1" applyFont="1" applyFill="1" applyBorder="1" applyAlignment="1" quotePrefix="1">
      <alignment/>
    </xf>
    <xf numFmtId="183" fontId="3" fillId="37" borderId="0" xfId="42" applyNumberFormat="1" applyFont="1" applyFill="1" applyBorder="1" applyAlignment="1">
      <alignment/>
    </xf>
    <xf numFmtId="183" fontId="3" fillId="0" borderId="0" xfId="0" applyNumberFormat="1" applyFont="1" applyFill="1" applyAlignment="1">
      <alignment/>
    </xf>
    <xf numFmtId="183" fontId="6" fillId="37" borderId="11" xfId="42" applyNumberFormat="1" applyFont="1" applyFill="1" applyBorder="1" applyAlignment="1">
      <alignment/>
    </xf>
    <xf numFmtId="183" fontId="6" fillId="37" borderId="0" xfId="42" applyNumberFormat="1" applyFont="1" applyFill="1" applyBorder="1" applyAlignment="1">
      <alignment/>
    </xf>
    <xf numFmtId="183" fontId="3" fillId="37" borderId="10" xfId="42" applyNumberFormat="1" applyFont="1" applyFill="1" applyBorder="1" applyAlignment="1">
      <alignment/>
    </xf>
    <xf numFmtId="183" fontId="2" fillId="37" borderId="11" xfId="42" applyNumberFormat="1" applyFont="1" applyFill="1" applyBorder="1" applyAlignment="1">
      <alignment/>
    </xf>
    <xf numFmtId="183" fontId="2" fillId="37" borderId="0" xfId="42" applyNumberFormat="1" applyFont="1" applyFill="1" applyBorder="1" applyAlignment="1">
      <alignment/>
    </xf>
    <xf numFmtId="183" fontId="6" fillId="37" borderId="0" xfId="42" applyNumberFormat="1" applyFont="1" applyFill="1" applyBorder="1" applyAlignment="1" quotePrefix="1">
      <alignment horizontal="left"/>
    </xf>
    <xf numFmtId="3" fontId="9" fillId="37" borderId="0" xfId="42" applyNumberFormat="1" applyFont="1" applyFill="1" applyBorder="1" applyAlignment="1" quotePrefix="1">
      <alignment/>
    </xf>
    <xf numFmtId="3" fontId="2" fillId="37" borderId="0" xfId="42" applyNumberFormat="1" applyFont="1" applyFill="1" applyBorder="1" applyAlignment="1" quotePrefix="1">
      <alignment/>
    </xf>
    <xf numFmtId="3" fontId="3" fillId="37" borderId="0" xfId="42" applyNumberFormat="1" applyFont="1" applyFill="1" applyBorder="1" applyAlignment="1" quotePrefix="1">
      <alignment/>
    </xf>
    <xf numFmtId="3" fontId="3" fillId="37" borderId="10" xfId="42" applyNumberFormat="1" applyFont="1" applyFill="1" applyBorder="1" applyAlignment="1" quotePrefix="1">
      <alignment/>
    </xf>
    <xf numFmtId="3" fontId="3" fillId="37" borderId="11" xfId="42" applyNumberFormat="1" applyFont="1" applyFill="1" applyBorder="1" applyAlignment="1" quotePrefix="1">
      <alignment/>
    </xf>
    <xf numFmtId="183" fontId="2" fillId="37" borderId="18" xfId="42" applyNumberFormat="1" applyFont="1" applyFill="1" applyBorder="1" applyAlignment="1">
      <alignment/>
    </xf>
    <xf numFmtId="183" fontId="2" fillId="37" borderId="20" xfId="42" applyNumberFormat="1" applyFont="1" applyFill="1" applyBorder="1" applyAlignment="1">
      <alignment/>
    </xf>
    <xf numFmtId="0" fontId="2" fillId="37" borderId="19" xfId="0" applyFont="1" applyFill="1" applyBorder="1" applyAlignment="1">
      <alignment/>
    </xf>
    <xf numFmtId="0" fontId="3" fillId="37" borderId="18" xfId="0" applyFont="1" applyFill="1" applyBorder="1" applyAlignment="1">
      <alignment horizontal="center" vertical="center"/>
    </xf>
    <xf numFmtId="0" fontId="3" fillId="37" borderId="18" xfId="0" applyFont="1" applyFill="1" applyBorder="1" applyAlignment="1">
      <alignment/>
    </xf>
    <xf numFmtId="0" fontId="2" fillId="37" borderId="18" xfId="0" applyFont="1" applyFill="1" applyBorder="1" applyAlignment="1">
      <alignment/>
    </xf>
    <xf numFmtId="183" fontId="2" fillId="37" borderId="18" xfId="42" applyNumberFormat="1" applyFont="1" applyFill="1" applyBorder="1" applyAlignment="1" quotePrefix="1">
      <alignment/>
    </xf>
    <xf numFmtId="183" fontId="2" fillId="37" borderId="20" xfId="42" applyNumberFormat="1" applyFont="1" applyFill="1" applyBorder="1" applyAlignment="1" quotePrefix="1">
      <alignment/>
    </xf>
    <xf numFmtId="183" fontId="9" fillId="0" borderId="15" xfId="42" applyNumberFormat="1" applyFont="1" applyBorder="1" applyAlignment="1">
      <alignment/>
    </xf>
    <xf numFmtId="183" fontId="3" fillId="0" borderId="0" xfId="0" applyNumberFormat="1" applyFont="1" applyAlignment="1">
      <alignment/>
    </xf>
    <xf numFmtId="43" fontId="67" fillId="0" borderId="0" xfId="42" applyFont="1" applyBorder="1" applyAlignment="1">
      <alignment/>
    </xf>
    <xf numFmtId="43" fontId="3" fillId="0" borderId="0" xfId="42" applyFont="1" applyBorder="1" applyAlignment="1">
      <alignment/>
    </xf>
    <xf numFmtId="183" fontId="6" fillId="38" borderId="0" xfId="42" applyNumberFormat="1" applyFont="1" applyFill="1" applyBorder="1" applyAlignment="1">
      <alignment/>
    </xf>
    <xf numFmtId="183" fontId="3" fillId="38" borderId="0" xfId="42" applyNumberFormat="1" applyFont="1" applyFill="1" applyBorder="1" applyAlignment="1">
      <alignment/>
    </xf>
    <xf numFmtId="183" fontId="3" fillId="39" borderId="0" xfId="42" applyNumberFormat="1" applyFont="1" applyFill="1" applyBorder="1" applyAlignment="1">
      <alignment/>
    </xf>
    <xf numFmtId="183" fontId="3" fillId="39" borderId="10" xfId="42" applyNumberFormat="1" applyFont="1" applyFill="1" applyBorder="1" applyAlignment="1">
      <alignment/>
    </xf>
    <xf numFmtId="0" fontId="6" fillId="39" borderId="11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9" borderId="11" xfId="0" applyFont="1" applyFill="1" applyBorder="1" applyAlignment="1">
      <alignment horizontal="center" vertical="top"/>
    </xf>
    <xf numFmtId="0" fontId="6" fillId="39" borderId="16" xfId="0" applyFont="1" applyFill="1" applyBorder="1" applyAlignment="1">
      <alignment horizontal="center" vertical="top" wrapText="1"/>
    </xf>
    <xf numFmtId="0" fontId="6" fillId="39" borderId="15" xfId="0" applyFont="1" applyFill="1" applyBorder="1" applyAlignment="1">
      <alignment vertical="top"/>
    </xf>
    <xf numFmtId="0" fontId="6" fillId="39" borderId="17" xfId="0" applyFont="1" applyFill="1" applyBorder="1" applyAlignment="1">
      <alignment vertical="top"/>
    </xf>
    <xf numFmtId="183" fontId="6" fillId="39" borderId="11" xfId="42" applyNumberFormat="1" applyFont="1" applyFill="1" applyBorder="1" applyAlignment="1">
      <alignment/>
    </xf>
    <xf numFmtId="183" fontId="6" fillId="39" borderId="0" xfId="42" applyNumberFormat="1" applyFont="1" applyFill="1" applyBorder="1" applyAlignment="1" quotePrefix="1">
      <alignment horizontal="left"/>
    </xf>
    <xf numFmtId="183" fontId="2" fillId="39" borderId="0" xfId="42" applyNumberFormat="1" applyFont="1" applyFill="1" applyBorder="1" applyAlignment="1">
      <alignment/>
    </xf>
    <xf numFmtId="183" fontId="3" fillId="39" borderId="0" xfId="42" applyNumberFormat="1" applyFont="1" applyFill="1" applyBorder="1" applyAlignment="1">
      <alignment vertical="center"/>
    </xf>
    <xf numFmtId="183" fontId="3" fillId="39" borderId="10" xfId="42" applyNumberFormat="1" applyFont="1" applyFill="1" applyBorder="1" applyAlignment="1">
      <alignment vertical="center"/>
    </xf>
    <xf numFmtId="183" fontId="69" fillId="39" borderId="0" xfId="42" applyNumberFormat="1" applyFont="1" applyFill="1" applyBorder="1" applyAlignment="1" quotePrefix="1">
      <alignment horizontal="left"/>
    </xf>
    <xf numFmtId="183" fontId="67" fillId="39" borderId="0" xfId="42" applyNumberFormat="1" applyFont="1" applyFill="1" applyBorder="1" applyAlignment="1">
      <alignment/>
    </xf>
    <xf numFmtId="183" fontId="67" fillId="39" borderId="10" xfId="42" applyNumberFormat="1" applyFont="1" applyFill="1" applyBorder="1" applyAlignment="1">
      <alignment vertical="center"/>
    </xf>
    <xf numFmtId="183" fontId="2" fillId="39" borderId="0" xfId="42" applyNumberFormat="1" applyFont="1" applyFill="1" applyBorder="1" applyAlignment="1">
      <alignment vertical="center"/>
    </xf>
    <xf numFmtId="183" fontId="3" fillId="39" borderId="0" xfId="42" applyNumberFormat="1" applyFont="1" applyFill="1" applyBorder="1" applyAlignment="1">
      <alignment/>
    </xf>
    <xf numFmtId="183" fontId="6" fillId="39" borderId="11" xfId="42" applyNumberFormat="1" applyFont="1" applyFill="1" applyBorder="1" applyAlignment="1">
      <alignment/>
    </xf>
    <xf numFmtId="3" fontId="6" fillId="39" borderId="11" xfId="42" applyNumberFormat="1" applyFont="1" applyFill="1" applyBorder="1" applyAlignment="1">
      <alignment/>
    </xf>
    <xf numFmtId="3" fontId="2" fillId="39" borderId="0" xfId="42" applyNumberFormat="1" applyFont="1" applyFill="1" applyBorder="1" applyAlignment="1">
      <alignment/>
    </xf>
    <xf numFmtId="183" fontId="9" fillId="39" borderId="11" xfId="42" applyNumberFormat="1" applyFont="1" applyFill="1" applyBorder="1" applyAlignment="1">
      <alignment/>
    </xf>
    <xf numFmtId="0" fontId="3" fillId="39" borderId="19" xfId="0" applyFont="1" applyFill="1" applyBorder="1" applyAlignment="1">
      <alignment horizontal="center" vertical="center"/>
    </xf>
    <xf numFmtId="0" fontId="3" fillId="39" borderId="18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183" fontId="6" fillId="39" borderId="18" xfId="42" applyNumberFormat="1" applyFont="1" applyFill="1" applyBorder="1" applyAlignment="1" quotePrefix="1">
      <alignment/>
    </xf>
    <xf numFmtId="0" fontId="2" fillId="39" borderId="19" xfId="0" applyFont="1" applyFill="1" applyBorder="1" applyAlignment="1">
      <alignment horizontal="left"/>
    </xf>
    <xf numFmtId="0" fontId="2" fillId="39" borderId="18" xfId="0" applyFont="1" applyFill="1" applyBorder="1" applyAlignment="1">
      <alignment horizontal="left"/>
    </xf>
    <xf numFmtId="183" fontId="6" fillId="39" borderId="18" xfId="42" applyNumberFormat="1" applyFont="1" applyFill="1" applyBorder="1" applyAlignment="1">
      <alignment/>
    </xf>
    <xf numFmtId="43" fontId="2" fillId="0" borderId="0" xfId="42" applyFont="1" applyFill="1" applyAlignment="1">
      <alignment/>
    </xf>
    <xf numFmtId="3" fontId="3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183" fontId="2" fillId="0" borderId="0" xfId="42" applyNumberFormat="1" applyFont="1" applyBorder="1" applyAlignment="1">
      <alignment/>
    </xf>
    <xf numFmtId="0" fontId="0" fillId="0" borderId="0" xfId="0" applyBorder="1" applyAlignment="1">
      <alignment/>
    </xf>
    <xf numFmtId="0" fontId="75" fillId="0" borderId="0" xfId="0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183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183" fontId="7" fillId="0" borderId="0" xfId="42" applyNumberFormat="1" applyFont="1" applyBorder="1" applyAlignment="1">
      <alignment/>
    </xf>
    <xf numFmtId="0" fontId="7" fillId="0" borderId="0" xfId="0" applyFont="1" applyBorder="1" applyAlignment="1">
      <alignment/>
    </xf>
    <xf numFmtId="3" fontId="6" fillId="0" borderId="0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0" fontId="76" fillId="0" borderId="0" xfId="0" applyFont="1" applyBorder="1" applyAlignment="1">
      <alignment/>
    </xf>
    <xf numFmtId="183" fontId="76" fillId="0" borderId="0" xfId="42" applyNumberFormat="1" applyFont="1" applyBorder="1" applyAlignment="1">
      <alignment/>
    </xf>
    <xf numFmtId="43" fontId="76" fillId="0" borderId="0" xfId="42" applyFont="1" applyBorder="1" applyAlignment="1">
      <alignment/>
    </xf>
    <xf numFmtId="183" fontId="75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39" borderId="0" xfId="0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horizontal="center" vertical="top" wrapText="1"/>
    </xf>
    <xf numFmtId="0" fontId="6" fillId="8" borderId="11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horizontal="center" vertical="top" wrapText="1"/>
    </xf>
    <xf numFmtId="43" fontId="8" fillId="0" borderId="0" xfId="42" applyFont="1" applyAlignment="1">
      <alignment horizontal="right"/>
    </xf>
    <xf numFmtId="43" fontId="3" fillId="0" borderId="0" xfId="42" applyFont="1" applyBorder="1" applyAlignment="1">
      <alignment vertical="center"/>
    </xf>
    <xf numFmtId="43" fontId="67" fillId="0" borderId="0" xfId="42" applyFont="1" applyBorder="1" applyAlignment="1">
      <alignment/>
    </xf>
    <xf numFmtId="43" fontId="67" fillId="0" borderId="0" xfId="42" applyFont="1" applyFill="1" applyBorder="1" applyAlignment="1">
      <alignment vertical="center"/>
    </xf>
    <xf numFmtId="43" fontId="3" fillId="0" borderId="0" xfId="42" applyFont="1" applyBorder="1" applyAlignment="1">
      <alignment/>
    </xf>
    <xf numFmtId="43" fontId="3" fillId="0" borderId="0" xfId="42" applyFont="1" applyFill="1" applyBorder="1" applyAlignment="1">
      <alignment/>
    </xf>
    <xf numFmtId="0" fontId="3" fillId="0" borderId="0" xfId="0" applyFont="1" applyBorder="1" applyAlignment="1">
      <alignment horizontal="left" wrapText="1"/>
    </xf>
    <xf numFmtId="43" fontId="2" fillId="0" borderId="0" xfId="42" applyFont="1" applyFill="1" applyAlignment="1">
      <alignment horizontal="center"/>
    </xf>
    <xf numFmtId="43" fontId="12" fillId="0" borderId="0" xfId="42" applyFont="1" applyAlignment="1">
      <alignment horizontal="center"/>
    </xf>
    <xf numFmtId="43" fontId="3" fillId="0" borderId="0" xfId="42" applyFont="1" applyAlignment="1">
      <alignment horizontal="center"/>
    </xf>
    <xf numFmtId="43" fontId="7" fillId="0" borderId="0" xfId="42" applyFont="1" applyFill="1" applyBorder="1" applyAlignment="1" quotePrefix="1">
      <alignment horizontal="left"/>
    </xf>
    <xf numFmtId="43" fontId="7" fillId="0" borderId="0" xfId="42" applyFont="1" applyBorder="1" applyAlignment="1">
      <alignment/>
    </xf>
    <xf numFmtId="43" fontId="68" fillId="0" borderId="0" xfId="42" applyFont="1" applyFill="1" applyBorder="1" applyAlignment="1" quotePrefix="1">
      <alignment horizontal="left"/>
    </xf>
    <xf numFmtId="43" fontId="7" fillId="0" borderId="0" xfId="42" applyFont="1" applyBorder="1" applyAlignment="1">
      <alignment/>
    </xf>
    <xf numFmtId="43" fontId="10" fillId="0" borderId="0" xfId="42" applyFont="1" applyBorder="1" applyAlignment="1">
      <alignment/>
    </xf>
    <xf numFmtId="43" fontId="10" fillId="0" borderId="0" xfId="42" applyFont="1" applyFill="1" applyBorder="1" applyAlignment="1">
      <alignment/>
    </xf>
    <xf numFmtId="43" fontId="7" fillId="0" borderId="0" xfId="42" applyFont="1" applyFill="1" applyBorder="1" applyAlignment="1">
      <alignment/>
    </xf>
    <xf numFmtId="43" fontId="10" fillId="0" borderId="0" xfId="42" applyFont="1" applyBorder="1" applyAlignment="1">
      <alignment/>
    </xf>
    <xf numFmtId="43" fontId="7" fillId="0" borderId="0" xfId="42" applyFont="1" applyFill="1" applyBorder="1" applyAlignment="1" quotePrefix="1">
      <alignment/>
    </xf>
    <xf numFmtId="183" fontId="3" fillId="0" borderId="0" xfId="0" applyNumberFormat="1" applyFont="1" applyBorder="1" applyAlignment="1">
      <alignment/>
    </xf>
    <xf numFmtId="43" fontId="3" fillId="0" borderId="0" xfId="42" applyFont="1" applyBorder="1" applyAlignment="1">
      <alignment/>
    </xf>
    <xf numFmtId="183" fontId="2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183" fontId="6" fillId="37" borderId="18" xfId="42" applyNumberFormat="1" applyFont="1" applyFill="1" applyBorder="1" applyAlignment="1" quotePrefix="1">
      <alignment horizontal="left"/>
    </xf>
    <xf numFmtId="0" fontId="6" fillId="8" borderId="11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horizontal="center" vertical="top" wrapText="1"/>
    </xf>
    <xf numFmtId="43" fontId="3" fillId="37" borderId="10" xfId="42" applyFont="1" applyFill="1" applyBorder="1" applyAlignment="1" quotePrefix="1">
      <alignment/>
    </xf>
    <xf numFmtId="43" fontId="2" fillId="0" borderId="0" xfId="42" applyFont="1" applyBorder="1" applyAlignment="1">
      <alignment/>
    </xf>
    <xf numFmtId="43" fontId="6" fillId="0" borderId="11" xfId="42" applyFont="1" applyBorder="1" applyAlignment="1">
      <alignment/>
    </xf>
    <xf numFmtId="43" fontId="67" fillId="0" borderId="0" xfId="42" applyFont="1" applyBorder="1" applyAlignment="1">
      <alignment vertical="center"/>
    </xf>
    <xf numFmtId="43" fontId="67" fillId="0" borderId="0" xfId="42" applyFont="1" applyFill="1" applyAlignment="1">
      <alignment/>
    </xf>
    <xf numFmtId="43" fontId="3" fillId="0" borderId="10" xfId="42" applyFont="1" applyBorder="1" applyAlignment="1">
      <alignment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83" fontId="3" fillId="0" borderId="0" xfId="0" applyNumberFormat="1" applyFont="1" applyBorder="1" applyAlignment="1">
      <alignment/>
    </xf>
    <xf numFmtId="18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43" fontId="9" fillId="37" borderId="0" xfId="42" applyFont="1" applyFill="1" applyBorder="1" applyAlignment="1" quotePrefix="1">
      <alignment/>
    </xf>
    <xf numFmtId="43" fontId="9" fillId="0" borderId="0" xfId="42" applyFont="1" applyFill="1" applyBorder="1" applyAlignment="1" quotePrefix="1">
      <alignment/>
    </xf>
    <xf numFmtId="43" fontId="2" fillId="37" borderId="0" xfId="42" applyFont="1" applyFill="1" applyBorder="1" applyAlignment="1" quotePrefix="1">
      <alignment/>
    </xf>
    <xf numFmtId="43" fontId="2" fillId="0" borderId="0" xfId="42" applyFont="1" applyFill="1" applyBorder="1" applyAlignment="1" quotePrefix="1">
      <alignment/>
    </xf>
    <xf numFmtId="43" fontId="3" fillId="37" borderId="0" xfId="42" applyFont="1" applyFill="1" applyBorder="1" applyAlignment="1" quotePrefix="1">
      <alignment/>
    </xf>
    <xf numFmtId="43" fontId="3" fillId="0" borderId="0" xfId="42" applyFont="1" applyFill="1" applyBorder="1" applyAlignment="1" quotePrefix="1">
      <alignment/>
    </xf>
    <xf numFmtId="43" fontId="3" fillId="0" borderId="17" xfId="42" applyFont="1" applyFill="1" applyBorder="1" applyAlignment="1" quotePrefix="1">
      <alignment/>
    </xf>
    <xf numFmtId="43" fontId="9" fillId="0" borderId="15" xfId="42" applyFont="1" applyFill="1" applyBorder="1" applyAlignment="1" quotePrefix="1">
      <alignment/>
    </xf>
    <xf numFmtId="43" fontId="2" fillId="0" borderId="15" xfId="42" applyFont="1" applyFill="1" applyBorder="1" applyAlignment="1" quotePrefix="1">
      <alignment/>
    </xf>
    <xf numFmtId="43" fontId="3" fillId="0" borderId="15" xfId="42" applyFont="1" applyFill="1" applyBorder="1" applyAlignment="1" quotePrefix="1">
      <alignment/>
    </xf>
    <xf numFmtId="43" fontId="3" fillId="0" borderId="10" xfId="42" applyFont="1" applyFill="1" applyBorder="1" applyAlignment="1" quotePrefix="1">
      <alignment/>
    </xf>
    <xf numFmtId="43" fontId="3" fillId="0" borderId="10" xfId="42" applyFont="1" applyBorder="1" applyAlignment="1">
      <alignment/>
    </xf>
    <xf numFmtId="43" fontId="3" fillId="37" borderId="11" xfId="42" applyFont="1" applyFill="1" applyBorder="1" applyAlignment="1" quotePrefix="1">
      <alignment/>
    </xf>
    <xf numFmtId="43" fontId="3" fillId="0" borderId="11" xfId="42" applyFont="1" applyFill="1" applyBorder="1" applyAlignment="1" quotePrefix="1">
      <alignment/>
    </xf>
    <xf numFmtId="43" fontId="3" fillId="0" borderId="11" xfId="42" applyFont="1" applyBorder="1" applyAlignment="1">
      <alignment/>
    </xf>
    <xf numFmtId="43" fontId="3" fillId="0" borderId="16" xfId="42" applyFont="1" applyFill="1" applyBorder="1" applyAlignment="1" quotePrefix="1">
      <alignment/>
    </xf>
    <xf numFmtId="178" fontId="9" fillId="0" borderId="0" xfId="42" applyNumberFormat="1" applyFont="1" applyFill="1" applyBorder="1" applyAlignment="1" quotePrefix="1">
      <alignment/>
    </xf>
    <xf numFmtId="183" fontId="9" fillId="37" borderId="0" xfId="42" applyNumberFormat="1" applyFont="1" applyFill="1" applyBorder="1" applyAlignment="1" quotePrefix="1">
      <alignment/>
    </xf>
    <xf numFmtId="183" fontId="2" fillId="37" borderId="0" xfId="42" applyNumberFormat="1" applyFont="1" applyFill="1" applyBorder="1" applyAlignment="1" quotePrefix="1">
      <alignment/>
    </xf>
    <xf numFmtId="183" fontId="3" fillId="37" borderId="0" xfId="42" applyNumberFormat="1" applyFont="1" applyFill="1" applyBorder="1" applyAlignment="1" quotePrefix="1">
      <alignment/>
    </xf>
    <xf numFmtId="183" fontId="3" fillId="37" borderId="10" xfId="42" applyNumberFormat="1" applyFont="1" applyFill="1" applyBorder="1" applyAlignment="1" quotePrefix="1">
      <alignment/>
    </xf>
    <xf numFmtId="183" fontId="70" fillId="8" borderId="0" xfId="42" applyNumberFormat="1" applyFont="1" applyFill="1" applyBorder="1" applyAlignment="1">
      <alignment/>
    </xf>
    <xf numFmtId="183" fontId="3" fillId="8" borderId="17" xfId="42" applyNumberFormat="1" applyFont="1" applyFill="1" applyBorder="1" applyAlignment="1">
      <alignment/>
    </xf>
    <xf numFmtId="0" fontId="18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Alignment="1">
      <alignment horizontal="right" vertical="center"/>
    </xf>
    <xf numFmtId="183" fontId="19" fillId="0" borderId="21" xfId="42" applyNumberFormat="1" applyFont="1" applyFill="1" applyBorder="1" applyAlignment="1" quotePrefix="1">
      <alignment horizontal="right" vertical="center"/>
    </xf>
    <xf numFmtId="43" fontId="19" fillId="0" borderId="22" xfId="42" applyNumberFormat="1" applyFont="1" applyFill="1" applyBorder="1" applyAlignment="1">
      <alignment horizontal="right" vertical="center"/>
    </xf>
    <xf numFmtId="183" fontId="15" fillId="0" borderId="21" xfId="42" applyNumberFormat="1" applyFont="1" applyFill="1" applyBorder="1" applyAlignment="1">
      <alignment horizontal="right" vertical="center"/>
    </xf>
    <xf numFmtId="183" fontId="78" fillId="0" borderId="21" xfId="42" applyNumberFormat="1" applyFont="1" applyFill="1" applyBorder="1" applyAlignment="1" quotePrefix="1">
      <alignment horizontal="right" vertical="center"/>
    </xf>
    <xf numFmtId="183" fontId="77" fillId="0" borderId="21" xfId="42" applyNumberFormat="1" applyFont="1" applyFill="1" applyBorder="1" applyAlignment="1">
      <alignment horizontal="right" vertical="center"/>
    </xf>
    <xf numFmtId="183" fontId="77" fillId="0" borderId="23" xfId="42" applyNumberFormat="1" applyFont="1" applyFill="1" applyBorder="1" applyAlignment="1">
      <alignment horizontal="right" vertical="center"/>
    </xf>
    <xf numFmtId="183" fontId="19" fillId="0" borderId="22" xfId="42" applyNumberFormat="1" applyFont="1" applyFill="1" applyBorder="1" applyAlignment="1">
      <alignment horizontal="right" vertical="center"/>
    </xf>
    <xf numFmtId="183" fontId="18" fillId="0" borderId="21" xfId="42" applyNumberFormat="1" applyFont="1" applyFill="1" applyBorder="1" applyAlignment="1">
      <alignment horizontal="right" vertical="center"/>
    </xf>
    <xf numFmtId="183" fontId="18" fillId="0" borderId="23" xfId="42" applyNumberFormat="1" applyFont="1" applyFill="1" applyBorder="1" applyAlignment="1">
      <alignment horizontal="right" vertical="center"/>
    </xf>
    <xf numFmtId="182" fontId="19" fillId="0" borderId="22" xfId="42" applyNumberFormat="1" applyFont="1" applyFill="1" applyBorder="1" applyAlignment="1">
      <alignment horizontal="right" vertical="center"/>
    </xf>
    <xf numFmtId="4" fontId="19" fillId="0" borderId="22" xfId="42" applyNumberFormat="1" applyFont="1" applyFill="1" applyBorder="1" applyAlignment="1">
      <alignment horizontal="right" vertical="center"/>
    </xf>
    <xf numFmtId="182" fontId="20" fillId="0" borderId="22" xfId="42" applyNumberFormat="1" applyFont="1" applyFill="1" applyBorder="1" applyAlignment="1">
      <alignment horizontal="right" vertical="center"/>
    </xf>
    <xf numFmtId="43" fontId="19" fillId="0" borderId="22" xfId="42" applyFont="1" applyFill="1" applyBorder="1" applyAlignment="1">
      <alignment horizontal="right" vertical="center"/>
    </xf>
    <xf numFmtId="43" fontId="20" fillId="0" borderId="22" xfId="42" applyNumberFormat="1" applyFont="1" applyFill="1" applyBorder="1" applyAlignment="1">
      <alignment horizontal="right" vertical="center"/>
    </xf>
    <xf numFmtId="0" fontId="19" fillId="0" borderId="21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 wrapText="1"/>
    </xf>
    <xf numFmtId="0" fontId="18" fillId="0" borderId="23" xfId="0" applyFont="1" applyFill="1" applyBorder="1" applyAlignment="1">
      <alignment horizontal="left" vertical="center"/>
    </xf>
    <xf numFmtId="0" fontId="19" fillId="0" borderId="22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/>
    </xf>
    <xf numFmtId="0" fontId="78" fillId="0" borderId="21" xfId="0" applyFont="1" applyFill="1" applyBorder="1" applyAlignment="1">
      <alignment horizontal="left" vertical="center"/>
    </xf>
    <xf numFmtId="0" fontId="78" fillId="0" borderId="21" xfId="0" applyFont="1" applyFill="1" applyBorder="1" applyAlignment="1">
      <alignment horizontal="left" vertical="center" wrapText="1"/>
    </xf>
    <xf numFmtId="0" fontId="79" fillId="0" borderId="21" xfId="0" applyFont="1" applyFill="1" applyBorder="1" applyAlignment="1">
      <alignment horizontal="left" vertical="center" wrapText="1"/>
    </xf>
    <xf numFmtId="0" fontId="77" fillId="0" borderId="21" xfId="0" applyFont="1" applyFill="1" applyBorder="1" applyAlignment="1">
      <alignment horizontal="left" vertical="center" wrapText="1"/>
    </xf>
    <xf numFmtId="0" fontId="77" fillId="0" borderId="23" xfId="0" applyFont="1" applyFill="1" applyBorder="1" applyAlignment="1">
      <alignment horizontal="left" vertical="center" wrapText="1"/>
    </xf>
    <xf numFmtId="0" fontId="18" fillId="0" borderId="2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15" fillId="0" borderId="14" xfId="0" applyFont="1" applyFill="1" applyBorder="1" applyAlignment="1">
      <alignment horizontal="left" vertical="center"/>
    </xf>
    <xf numFmtId="2" fontId="15" fillId="0" borderId="24" xfId="0" applyNumberFormat="1" applyFont="1" applyFill="1" applyBorder="1" applyAlignment="1">
      <alignment horizontal="right" vertical="center"/>
    </xf>
    <xf numFmtId="43" fontId="18" fillId="0" borderId="0" xfId="0" applyNumberFormat="1" applyFont="1" applyFill="1" applyBorder="1" applyAlignment="1">
      <alignment horizontal="right" vertical="center"/>
    </xf>
    <xf numFmtId="43" fontId="18" fillId="0" borderId="0" xfId="42" applyFont="1" applyFill="1" applyBorder="1" applyAlignment="1">
      <alignment horizontal="right" vertical="center"/>
    </xf>
    <xf numFmtId="43" fontId="18" fillId="0" borderId="0" xfId="0" applyNumberFormat="1" applyFont="1" applyAlignment="1">
      <alignment horizontal="center" vertical="center"/>
    </xf>
    <xf numFmtId="213" fontId="18" fillId="0" borderId="0" xfId="0" applyNumberFormat="1" applyFont="1" applyAlignment="1">
      <alignment horizontal="center" vertical="center"/>
    </xf>
    <xf numFmtId="43" fontId="77" fillId="0" borderId="0" xfId="0" applyNumberFormat="1" applyFont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5" fillId="0" borderId="22" xfId="0" applyFont="1" applyBorder="1" applyAlignment="1">
      <alignment horizontal="left" vertical="center" wrapText="1"/>
    </xf>
    <xf numFmtId="0" fontId="15" fillId="0" borderId="24" xfId="0" applyFont="1" applyBorder="1" applyAlignment="1">
      <alignment horizontal="left" vertical="center" wrapText="1"/>
    </xf>
    <xf numFmtId="43" fontId="15" fillId="0" borderId="22" xfId="42" applyFont="1" applyBorder="1" applyAlignment="1">
      <alignment vertical="center"/>
    </xf>
    <xf numFmtId="43" fontId="20" fillId="0" borderId="22" xfId="42" applyNumberFormat="1" applyFont="1" applyFill="1" applyBorder="1" applyAlignment="1">
      <alignment vertical="center"/>
    </xf>
    <xf numFmtId="183" fontId="19" fillId="0" borderId="22" xfId="42" applyNumberFormat="1" applyFont="1" applyFill="1" applyBorder="1" applyAlignment="1">
      <alignment vertical="center"/>
    </xf>
    <xf numFmtId="183" fontId="15" fillId="0" borderId="21" xfId="42" applyNumberFormat="1" applyFont="1" applyFill="1" applyBorder="1" applyAlignment="1">
      <alignment vertical="center"/>
    </xf>
    <xf numFmtId="183" fontId="18" fillId="0" borderId="21" xfId="42" applyNumberFormat="1" applyFont="1" applyFill="1" applyBorder="1" applyAlignment="1">
      <alignment vertical="center"/>
    </xf>
    <xf numFmtId="183" fontId="18" fillId="0" borderId="23" xfId="42" applyNumberFormat="1" applyFont="1" applyFill="1" applyBorder="1" applyAlignment="1">
      <alignment vertical="center"/>
    </xf>
    <xf numFmtId="183" fontId="20" fillId="0" borderId="22" xfId="42" applyNumberFormat="1" applyFont="1" applyFill="1" applyBorder="1" applyAlignment="1">
      <alignment vertical="center"/>
    </xf>
    <xf numFmtId="0" fontId="18" fillId="0" borderId="2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8" fillId="0" borderId="26" xfId="0" applyFont="1" applyBorder="1" applyAlignment="1">
      <alignment horizontal="center" vertical="center"/>
    </xf>
    <xf numFmtId="4" fontId="19" fillId="0" borderId="21" xfId="42" applyNumberFormat="1" applyFont="1" applyFill="1" applyBorder="1" applyAlignment="1">
      <alignment horizontal="right" vertical="center"/>
    </xf>
    <xf numFmtId="0" fontId="77" fillId="0" borderId="23" xfId="0" applyFont="1" applyBorder="1" applyAlignment="1">
      <alignment horizontal="center" vertical="center"/>
    </xf>
    <xf numFmtId="0" fontId="19" fillId="0" borderId="24" xfId="0" applyFont="1" applyFill="1" applyBorder="1" applyAlignment="1">
      <alignment horizontal="left" vertical="center" wrapText="1"/>
    </xf>
    <xf numFmtId="182" fontId="19" fillId="0" borderId="24" xfId="42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right" vertical="center"/>
    </xf>
    <xf numFmtId="0" fontId="19" fillId="0" borderId="22" xfId="0" applyFont="1" applyFill="1" applyBorder="1" applyAlignment="1">
      <alignment horizontal="right" vertical="center" wrapText="1"/>
    </xf>
    <xf numFmtId="0" fontId="19" fillId="0" borderId="21" xfId="0" applyFont="1" applyFill="1" applyBorder="1" applyAlignment="1">
      <alignment horizontal="right" vertical="center" wrapText="1"/>
    </xf>
    <xf numFmtId="0" fontId="19" fillId="0" borderId="23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8" fillId="0" borderId="21" xfId="0" applyFont="1" applyFill="1" applyBorder="1" applyAlignment="1">
      <alignment horizontal="right" vertical="center" wrapText="1"/>
    </xf>
    <xf numFmtId="0" fontId="18" fillId="0" borderId="21" xfId="0" applyFont="1" applyFill="1" applyBorder="1" applyAlignment="1">
      <alignment horizontal="right" vertical="center"/>
    </xf>
    <xf numFmtId="182" fontId="19" fillId="0" borderId="22" xfId="42" applyNumberFormat="1" applyFont="1" applyFill="1" applyBorder="1" applyAlignment="1">
      <alignment horizontal="right" vertical="center" wrapText="1"/>
    </xf>
    <xf numFmtId="0" fontId="78" fillId="0" borderId="21" xfId="0" applyFont="1" applyFill="1" applyBorder="1" applyAlignment="1">
      <alignment horizontal="right" vertical="center"/>
    </xf>
    <xf numFmtId="0" fontId="78" fillId="0" borderId="21" xfId="0" applyFont="1" applyFill="1" applyBorder="1" applyAlignment="1">
      <alignment horizontal="right" vertical="center" wrapText="1"/>
    </xf>
    <xf numFmtId="0" fontId="79" fillId="0" borderId="21" xfId="0" applyFont="1" applyFill="1" applyBorder="1" applyAlignment="1">
      <alignment horizontal="right" vertical="center" wrapText="1"/>
    </xf>
    <xf numFmtId="0" fontId="77" fillId="0" borderId="21" xfId="0" applyFont="1" applyFill="1" applyBorder="1" applyAlignment="1">
      <alignment horizontal="right" vertical="center" wrapText="1"/>
    </xf>
    <xf numFmtId="0" fontId="77" fillId="0" borderId="23" xfId="0" applyFont="1" applyFill="1" applyBorder="1" applyAlignment="1">
      <alignment horizontal="right" vertical="center" wrapText="1"/>
    </xf>
    <xf numFmtId="0" fontId="18" fillId="0" borderId="23" xfId="0" applyFont="1" applyFill="1" applyBorder="1" applyAlignment="1">
      <alignment horizontal="right" vertical="center"/>
    </xf>
    <xf numFmtId="0" fontId="15" fillId="0" borderId="22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vertical="center"/>
    </xf>
    <xf numFmtId="182" fontId="19" fillId="0" borderId="24" xfId="0" applyNumberFormat="1" applyFont="1" applyFill="1" applyBorder="1" applyAlignment="1">
      <alignment horizontal="right" vertical="center" wrapText="1"/>
    </xf>
    <xf numFmtId="43" fontId="19" fillId="0" borderId="21" xfId="0" applyNumberFormat="1" applyFont="1" applyFill="1" applyBorder="1" applyAlignment="1">
      <alignment horizontal="right" vertical="center" wrapText="1"/>
    </xf>
    <xf numFmtId="43" fontId="19" fillId="0" borderId="22" xfId="0" applyNumberFormat="1" applyFont="1" applyFill="1" applyBorder="1" applyAlignment="1">
      <alignment horizontal="right" vertical="center" wrapText="1"/>
    </xf>
    <xf numFmtId="180" fontId="19" fillId="0" borderId="22" xfId="0" applyNumberFormat="1" applyFont="1" applyFill="1" applyBorder="1" applyAlignment="1">
      <alignment horizontal="right" vertical="center" wrapText="1"/>
    </xf>
    <xf numFmtId="43" fontId="15" fillId="0" borderId="22" xfId="42" applyFont="1" applyFill="1" applyBorder="1" applyAlignment="1">
      <alignment horizontal="right" vertical="center" wrapText="1"/>
    </xf>
    <xf numFmtId="182" fontId="15" fillId="0" borderId="22" xfId="42" applyNumberFormat="1" applyFont="1" applyBorder="1" applyAlignment="1">
      <alignment horizontal="right" vertical="center" wrapText="1"/>
    </xf>
    <xf numFmtId="182" fontId="15" fillId="0" borderId="24" xfId="42" applyNumberFormat="1" applyFont="1" applyBorder="1" applyAlignment="1">
      <alignment horizontal="right" vertical="center" wrapText="1"/>
    </xf>
    <xf numFmtId="182" fontId="15" fillId="0" borderId="14" xfId="42" applyNumberFormat="1" applyFont="1" applyFill="1" applyBorder="1" applyAlignment="1">
      <alignment horizontal="right" vertical="center"/>
    </xf>
    <xf numFmtId="182" fontId="15" fillId="0" borderId="24" xfId="42" applyNumberFormat="1" applyFont="1" applyFill="1" applyBorder="1" applyAlignment="1">
      <alignment horizontal="right" vertical="center" wrapText="1"/>
    </xf>
    <xf numFmtId="43" fontId="15" fillId="0" borderId="27" xfId="0" applyNumberFormat="1" applyFont="1" applyFill="1" applyBorder="1" applyAlignment="1">
      <alignment horizontal="right" vertical="center"/>
    </xf>
    <xf numFmtId="43" fontId="15" fillId="0" borderId="27" xfId="42" applyFont="1" applyFill="1" applyBorder="1" applyAlignment="1">
      <alignment horizontal="right" vertical="center"/>
    </xf>
    <xf numFmtId="0" fontId="17" fillId="0" borderId="0" xfId="0" applyFont="1" applyFill="1" applyAlignment="1">
      <alignment horizontal="center" vertic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39" borderId="13" xfId="0" applyFont="1" applyFill="1" applyBorder="1" applyAlignment="1">
      <alignment horizontal="center" textRotation="90"/>
    </xf>
    <xf numFmtId="0" fontId="6" fillId="39" borderId="12" xfId="0" applyFont="1" applyFill="1" applyBorder="1" applyAlignment="1">
      <alignment horizontal="center" textRotation="90"/>
    </xf>
    <xf numFmtId="0" fontId="6" fillId="39" borderId="14" xfId="0" applyFont="1" applyFill="1" applyBorder="1" applyAlignment="1">
      <alignment horizontal="center" textRotation="90"/>
    </xf>
    <xf numFmtId="0" fontId="6" fillId="39" borderId="11" xfId="0" applyFont="1" applyFill="1" applyBorder="1" applyAlignment="1">
      <alignment horizontal="center" textRotation="90"/>
    </xf>
    <xf numFmtId="0" fontId="6" fillId="39" borderId="0" xfId="0" applyFont="1" applyFill="1" applyBorder="1" applyAlignment="1">
      <alignment horizontal="center" textRotation="90"/>
    </xf>
    <xf numFmtId="0" fontId="6" fillId="39" borderId="10" xfId="0" applyFont="1" applyFill="1" applyBorder="1" applyAlignment="1">
      <alignment horizontal="center" textRotation="90"/>
    </xf>
    <xf numFmtId="0" fontId="6" fillId="39" borderId="11" xfId="0" applyFont="1" applyFill="1" applyBorder="1" applyAlignment="1">
      <alignment horizontal="center" vertical="center" wrapText="1"/>
    </xf>
    <xf numFmtId="0" fontId="6" fillId="39" borderId="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3" fontId="6" fillId="39" borderId="11" xfId="0" applyNumberFormat="1" applyFont="1" applyFill="1" applyBorder="1" applyAlignment="1">
      <alignment horizontal="center" vertical="top" wrapText="1"/>
    </xf>
    <xf numFmtId="3" fontId="6" fillId="39" borderId="0" xfId="0" applyNumberFormat="1" applyFont="1" applyFill="1" applyBorder="1" applyAlignment="1">
      <alignment horizontal="center" vertical="top" wrapText="1"/>
    </xf>
    <xf numFmtId="3" fontId="6" fillId="39" borderId="10" xfId="0" applyNumberFormat="1" applyFont="1" applyFill="1" applyBorder="1" applyAlignment="1">
      <alignment horizontal="center" vertical="top" wrapText="1"/>
    </xf>
    <xf numFmtId="0" fontId="6" fillId="39" borderId="11" xfId="0" applyFont="1" applyFill="1" applyBorder="1" applyAlignment="1">
      <alignment horizontal="center" vertical="top" wrapText="1"/>
    </xf>
    <xf numFmtId="0" fontId="6" fillId="39" borderId="0" xfId="0" applyFont="1" applyFill="1" applyBorder="1" applyAlignment="1">
      <alignment horizontal="center" vertical="top" wrapText="1"/>
    </xf>
    <xf numFmtId="0" fontId="6" fillId="39" borderId="10" xfId="0" applyFont="1" applyFill="1" applyBorder="1" applyAlignment="1">
      <alignment horizontal="center" vertical="top" wrapText="1"/>
    </xf>
    <xf numFmtId="0" fontId="6" fillId="35" borderId="0" xfId="0" applyFont="1" applyFill="1" applyBorder="1" applyAlignment="1">
      <alignment horizontal="center" vertical="top"/>
    </xf>
    <xf numFmtId="0" fontId="67" fillId="0" borderId="0" xfId="0" applyFont="1" applyBorder="1" applyAlignment="1">
      <alignment horizontal="center"/>
    </xf>
    <xf numFmtId="0" fontId="6" fillId="8" borderId="13" xfId="0" applyFont="1" applyFill="1" applyBorder="1" applyAlignment="1">
      <alignment horizontal="center" textRotation="90"/>
    </xf>
    <xf numFmtId="0" fontId="6" fillId="8" borderId="12" xfId="0" applyFont="1" applyFill="1" applyBorder="1" applyAlignment="1">
      <alignment horizontal="center" textRotation="90"/>
    </xf>
    <xf numFmtId="0" fontId="6" fillId="8" borderId="14" xfId="0" applyFont="1" applyFill="1" applyBorder="1" applyAlignment="1">
      <alignment horizontal="center" textRotation="90"/>
    </xf>
    <xf numFmtId="0" fontId="6" fillId="8" borderId="11" xfId="0" applyFont="1" applyFill="1" applyBorder="1" applyAlignment="1">
      <alignment vertical="center" textRotation="90"/>
    </xf>
    <xf numFmtId="0" fontId="6" fillId="8" borderId="0" xfId="0" applyFont="1" applyFill="1" applyBorder="1" applyAlignment="1">
      <alignment vertical="center" textRotation="90"/>
    </xf>
    <xf numFmtId="0" fontId="6" fillId="8" borderId="10" xfId="0" applyFont="1" applyFill="1" applyBorder="1" applyAlignment="1">
      <alignment vertical="center" textRotation="90"/>
    </xf>
    <xf numFmtId="0" fontId="6" fillId="8" borderId="11" xfId="0" applyFont="1" applyFill="1" applyBorder="1" applyAlignment="1">
      <alignment horizontal="center" vertical="top" wrapText="1"/>
    </xf>
    <xf numFmtId="0" fontId="6" fillId="8" borderId="0" xfId="0" applyFont="1" applyFill="1" applyBorder="1" applyAlignment="1">
      <alignment horizontal="center" vertical="top" wrapText="1"/>
    </xf>
    <xf numFmtId="0" fontId="6" fillId="8" borderId="10" xfId="0" applyFont="1" applyFill="1" applyBorder="1" applyAlignment="1">
      <alignment horizontal="center" vertical="top" wrapText="1"/>
    </xf>
    <xf numFmtId="3" fontId="6" fillId="8" borderId="11" xfId="0" applyNumberFormat="1" applyFont="1" applyFill="1" applyBorder="1" applyAlignment="1">
      <alignment horizontal="center" vertical="top" wrapText="1"/>
    </xf>
    <xf numFmtId="3" fontId="6" fillId="8" borderId="0" xfId="0" applyNumberFormat="1" applyFont="1" applyFill="1" applyBorder="1" applyAlignment="1">
      <alignment horizontal="center" vertical="top" wrapText="1"/>
    </xf>
    <xf numFmtId="3" fontId="6" fillId="8" borderId="10" xfId="0" applyNumberFormat="1" applyFont="1" applyFill="1" applyBorder="1" applyAlignment="1">
      <alignment horizontal="center" vertical="top" wrapText="1"/>
    </xf>
    <xf numFmtId="0" fontId="6" fillId="8" borderId="11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10" xfId="0" applyFont="1" applyBorder="1" applyAlignment="1">
      <alignment horizontal="right"/>
    </xf>
    <xf numFmtId="0" fontId="2" fillId="36" borderId="13" xfId="0" applyFont="1" applyFill="1" applyBorder="1" applyAlignment="1">
      <alignment horizontal="center" vertical="center" textRotation="90"/>
    </xf>
    <xf numFmtId="0" fontId="2" fillId="36" borderId="12" xfId="0" applyFont="1" applyFill="1" applyBorder="1" applyAlignment="1">
      <alignment horizontal="center" vertical="center" textRotation="90"/>
    </xf>
    <xf numFmtId="0" fontId="2" fillId="36" borderId="14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textRotation="90"/>
    </xf>
    <xf numFmtId="0" fontId="2" fillId="36" borderId="0" xfId="0" applyFont="1" applyFill="1" applyBorder="1" applyAlignment="1">
      <alignment horizontal="center" vertical="center" textRotation="90"/>
    </xf>
    <xf numFmtId="0" fontId="2" fillId="36" borderId="10" xfId="0" applyFont="1" applyFill="1" applyBorder="1" applyAlignment="1">
      <alignment horizontal="center" vertical="center" textRotation="90"/>
    </xf>
    <xf numFmtId="0" fontId="2" fillId="36" borderId="11" xfId="0" applyFont="1" applyFill="1" applyBorder="1" applyAlignment="1">
      <alignment horizontal="center" vertical="center" wrapText="1"/>
    </xf>
    <xf numFmtId="0" fontId="2" fillId="36" borderId="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6" fillId="36" borderId="15" xfId="0" applyFont="1" applyFill="1" applyBorder="1" applyAlignment="1">
      <alignment horizontal="center" vertical="center" wrapText="1"/>
    </xf>
    <xf numFmtId="0" fontId="6" fillId="40" borderId="0" xfId="0" applyFont="1" applyFill="1" applyBorder="1" applyAlignment="1">
      <alignment horizontal="center" vertical="center"/>
    </xf>
    <xf numFmtId="0" fontId="6" fillId="40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2" fillId="36" borderId="13" xfId="0" applyFont="1" applyFill="1" applyBorder="1" applyAlignment="1">
      <alignment horizontal="center" textRotation="90"/>
    </xf>
    <xf numFmtId="0" fontId="2" fillId="36" borderId="12" xfId="0" applyFont="1" applyFill="1" applyBorder="1" applyAlignment="1">
      <alignment horizontal="center" textRotation="90"/>
    </xf>
    <xf numFmtId="0" fontId="2" fillId="36" borderId="14" xfId="0" applyFont="1" applyFill="1" applyBorder="1" applyAlignment="1">
      <alignment horizontal="center" textRotation="90"/>
    </xf>
    <xf numFmtId="0" fontId="2" fillId="36" borderId="11" xfId="0" applyFont="1" applyFill="1" applyBorder="1" applyAlignment="1">
      <alignment horizontal="center" textRotation="90"/>
    </xf>
    <xf numFmtId="0" fontId="2" fillId="36" borderId="0" xfId="0" applyFont="1" applyFill="1" applyBorder="1" applyAlignment="1">
      <alignment horizontal="center" textRotation="90"/>
    </xf>
    <xf numFmtId="0" fontId="2" fillId="36" borderId="10" xfId="0" applyFont="1" applyFill="1" applyBorder="1" applyAlignment="1">
      <alignment horizontal="center" textRotation="90"/>
    </xf>
    <xf numFmtId="0" fontId="3" fillId="0" borderId="0" xfId="0" applyFont="1" applyBorder="1" applyAlignment="1">
      <alignment horizontal="center"/>
    </xf>
    <xf numFmtId="0" fontId="2" fillId="37" borderId="19" xfId="0" applyFont="1" applyFill="1" applyBorder="1" applyAlignment="1">
      <alignment horizontal="left" vertical="center"/>
    </xf>
    <xf numFmtId="0" fontId="2" fillId="37" borderId="18" xfId="0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09"/>
  <sheetViews>
    <sheetView zoomScalePageLayoutView="0" workbookViewId="0" topLeftCell="A1">
      <pane xSplit="4" ySplit="7" topLeftCell="E124" activePane="bottomRight" state="frozen"/>
      <selection pane="topLeft" activeCell="A1" sqref="A1"/>
      <selection pane="topRight" activeCell="E1" sqref="E1"/>
      <selection pane="bottomLeft" activeCell="A8" sqref="A8"/>
      <selection pane="bottomRight" activeCell="L8" sqref="L8"/>
    </sheetView>
  </sheetViews>
  <sheetFormatPr defaultColWidth="9.140625" defaultRowHeight="12.75"/>
  <cols>
    <col min="1" max="1" width="3.8515625" style="3" customWidth="1"/>
    <col min="2" max="3" width="3.28125" style="3" customWidth="1"/>
    <col min="4" max="4" width="3.8515625" style="3" customWidth="1"/>
    <col min="5" max="5" width="32.7109375" style="3" customWidth="1"/>
    <col min="6" max="6" width="14.140625" style="3" customWidth="1"/>
    <col min="7" max="7" width="14.00390625" style="3" customWidth="1"/>
    <col min="8" max="8" width="13.28125" style="33" customWidth="1"/>
    <col min="9" max="9" width="13.8515625" style="1" customWidth="1"/>
    <col min="10" max="10" width="14.140625" style="3" customWidth="1"/>
    <col min="11" max="11" width="14.57421875" style="33" customWidth="1"/>
    <col min="12" max="12" width="13.8515625" style="3" customWidth="1"/>
    <col min="13" max="13" width="19.7109375" style="132" customWidth="1"/>
    <col min="14" max="14" width="14.57421875" style="216" customWidth="1"/>
    <col min="15" max="16" width="17.140625" style="132" customWidth="1"/>
    <col min="17" max="17" width="16.8515625" style="132" customWidth="1"/>
    <col min="18" max="19" width="9.140625" style="3" customWidth="1"/>
    <col min="20" max="20" width="14.57421875" style="3" bestFit="1" customWidth="1"/>
    <col min="21" max="16384" width="9.140625" style="3" customWidth="1"/>
  </cols>
  <sheetData>
    <row r="1" spans="1:13" ht="18">
      <c r="A1" s="483" t="s">
        <v>33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M1" s="328"/>
    </row>
    <row r="2" spans="1:13" ht="18">
      <c r="A2" s="483" t="s">
        <v>53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328"/>
    </row>
    <row r="3" spans="1:13" ht="18">
      <c r="A3" s="483" t="s">
        <v>29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328"/>
    </row>
    <row r="4" spans="1:13" ht="16.5" customHeight="1">
      <c r="A4" s="32"/>
      <c r="B4" s="31"/>
      <c r="C4" s="31"/>
      <c r="D4" s="31"/>
      <c r="E4" s="31"/>
      <c r="F4" s="31"/>
      <c r="G4" s="31"/>
      <c r="H4" s="34"/>
      <c r="I4" s="35"/>
      <c r="J4" s="31"/>
      <c r="K4" s="34"/>
      <c r="L4" s="359" t="s">
        <v>11</v>
      </c>
      <c r="M4" s="320"/>
    </row>
    <row r="5" spans="1:14" ht="30.75" customHeight="1">
      <c r="A5" s="484" t="s">
        <v>3</v>
      </c>
      <c r="B5" s="487" t="s">
        <v>4</v>
      </c>
      <c r="C5" s="487" t="s">
        <v>5</v>
      </c>
      <c r="D5" s="487" t="s">
        <v>6</v>
      </c>
      <c r="E5" s="490" t="s">
        <v>43</v>
      </c>
      <c r="F5" s="261">
        <v>2016</v>
      </c>
      <c r="G5" s="496" t="s">
        <v>68</v>
      </c>
      <c r="H5" s="493" t="s">
        <v>69</v>
      </c>
      <c r="I5" s="496" t="s">
        <v>70</v>
      </c>
      <c r="J5" s="263">
        <v>2019</v>
      </c>
      <c r="K5" s="263">
        <v>2020</v>
      </c>
      <c r="L5" s="264" t="s">
        <v>71</v>
      </c>
      <c r="N5" s="327"/>
    </row>
    <row r="6" spans="1:14" ht="13.5" customHeight="1">
      <c r="A6" s="485"/>
      <c r="B6" s="488"/>
      <c r="C6" s="488"/>
      <c r="D6" s="488"/>
      <c r="E6" s="491"/>
      <c r="F6" s="315" t="s">
        <v>67</v>
      </c>
      <c r="G6" s="497"/>
      <c r="H6" s="494"/>
      <c r="I6" s="497"/>
      <c r="J6" s="499" t="s">
        <v>20</v>
      </c>
      <c r="K6" s="499"/>
      <c r="L6" s="265"/>
      <c r="M6" s="329"/>
      <c r="N6" s="327"/>
    </row>
    <row r="7" spans="1:14" ht="36.75" customHeight="1">
      <c r="A7" s="486"/>
      <c r="B7" s="489"/>
      <c r="C7" s="489"/>
      <c r="D7" s="489"/>
      <c r="E7" s="492"/>
      <c r="F7" s="262"/>
      <c r="G7" s="498"/>
      <c r="H7" s="495"/>
      <c r="I7" s="498"/>
      <c r="J7" s="181"/>
      <c r="K7" s="182"/>
      <c r="L7" s="266"/>
      <c r="N7" s="327"/>
    </row>
    <row r="8" spans="1:17" s="6" customFormat="1" ht="17.25">
      <c r="A8" s="213"/>
      <c r="B8" s="190"/>
      <c r="C8" s="214"/>
      <c r="D8" s="214"/>
      <c r="E8" s="215" t="s">
        <v>8</v>
      </c>
      <c r="F8" s="192">
        <f>F10+F16+F34+F39+F44+F50+F55+F60+F72+F76+F88+F94+F99+F105+F110+F115+F120</f>
        <v>3910984.0599999996</v>
      </c>
      <c r="G8" s="192">
        <f aca="true" t="shared" si="0" ref="G8:L8">G10+G16+G34+G39+G44+G50+G55+G60+G72+G76+G88+G94+G99+G105+G110+G115+G120+G82</f>
        <v>12867400</v>
      </c>
      <c r="H8" s="192">
        <f t="shared" si="0"/>
        <v>1090491.74</v>
      </c>
      <c r="I8" s="192">
        <f>I10+I16+I34+I39+I44+I50+I55+I60+I72+I76+I88+I94+I99+I105+I110+I115+I120+I82</f>
        <v>21813870</v>
      </c>
      <c r="J8" s="192">
        <f t="shared" si="0"/>
        <v>23131210</v>
      </c>
      <c r="K8" s="192">
        <f t="shared" si="0"/>
        <v>12318000</v>
      </c>
      <c r="L8" s="192">
        <f t="shared" si="0"/>
        <v>57263080</v>
      </c>
      <c r="M8" s="330"/>
      <c r="N8" s="216"/>
      <c r="O8" s="216"/>
      <c r="P8" s="216"/>
      <c r="Q8" s="216"/>
    </row>
    <row r="9" spans="1:13" ht="10.5" customHeight="1">
      <c r="A9" s="60"/>
      <c r="B9" s="119"/>
      <c r="C9" s="120"/>
      <c r="D9" s="120"/>
      <c r="E9" s="124"/>
      <c r="F9" s="121"/>
      <c r="G9" s="121"/>
      <c r="H9" s="121"/>
      <c r="I9" s="267"/>
      <c r="J9" s="121"/>
      <c r="K9" s="121"/>
      <c r="L9" s="122"/>
      <c r="M9" s="330"/>
    </row>
    <row r="10" spans="1:13" ht="55.5" customHeight="1" hidden="1">
      <c r="A10" s="93"/>
      <c r="B10" s="115"/>
      <c r="C10" s="115"/>
      <c r="D10" s="116"/>
      <c r="E10" s="117"/>
      <c r="F10" s="118">
        <v>0</v>
      </c>
      <c r="G10" s="121"/>
      <c r="H10" s="121"/>
      <c r="I10" s="268"/>
      <c r="J10" s="121"/>
      <c r="K10" s="121"/>
      <c r="L10" s="122"/>
      <c r="M10" s="330"/>
    </row>
    <row r="11" spans="1:13" ht="18" customHeight="1" hidden="1">
      <c r="A11" s="44"/>
      <c r="B11" s="26"/>
      <c r="C11" s="26"/>
      <c r="D11" s="11"/>
      <c r="E11" s="5"/>
      <c r="F11" s="9">
        <v>0</v>
      </c>
      <c r="G11" s="121"/>
      <c r="H11" s="121"/>
      <c r="I11" s="268"/>
      <c r="J11" s="121"/>
      <c r="K11" s="121"/>
      <c r="L11" s="122"/>
      <c r="M11" s="330"/>
    </row>
    <row r="12" spans="1:13" ht="17.25" customHeight="1" hidden="1">
      <c r="A12" s="44"/>
      <c r="B12" s="482"/>
      <c r="C12" s="482"/>
      <c r="D12" s="11"/>
      <c r="E12" s="46"/>
      <c r="F12" s="12">
        <v>0</v>
      </c>
      <c r="G12" s="121"/>
      <c r="H12" s="121"/>
      <c r="I12" s="268"/>
      <c r="J12" s="121"/>
      <c r="K12" s="121"/>
      <c r="L12" s="122"/>
      <c r="M12" s="330"/>
    </row>
    <row r="13" spans="1:13" ht="14.25" customHeight="1" hidden="1">
      <c r="A13" s="44"/>
      <c r="B13" s="26"/>
      <c r="C13" s="26"/>
      <c r="D13" s="11"/>
      <c r="E13" s="46"/>
      <c r="F13" s="70">
        <v>0</v>
      </c>
      <c r="G13" s="121"/>
      <c r="H13" s="121"/>
      <c r="I13" s="268"/>
      <c r="J13" s="121"/>
      <c r="K13" s="121"/>
      <c r="L13" s="122"/>
      <c r="M13" s="330"/>
    </row>
    <row r="14" spans="1:13" ht="14.25" customHeight="1" hidden="1">
      <c r="A14" s="44"/>
      <c r="B14" s="26"/>
      <c r="C14" s="26"/>
      <c r="D14" s="11"/>
      <c r="E14" s="46"/>
      <c r="F14" s="12">
        <v>0</v>
      </c>
      <c r="G14" s="121"/>
      <c r="H14" s="121"/>
      <c r="I14" s="268"/>
      <c r="J14" s="121"/>
      <c r="K14" s="121"/>
      <c r="L14" s="122"/>
      <c r="M14" s="330"/>
    </row>
    <row r="15" spans="1:13" ht="15" customHeight="1" hidden="1">
      <c r="A15" s="45"/>
      <c r="B15" s="50"/>
      <c r="C15" s="50"/>
      <c r="D15" s="14"/>
      <c r="E15" s="14"/>
      <c r="F15" s="15">
        <v>0</v>
      </c>
      <c r="G15" s="121"/>
      <c r="H15" s="121"/>
      <c r="I15" s="268"/>
      <c r="J15" s="121"/>
      <c r="K15" s="121"/>
      <c r="L15" s="122"/>
      <c r="M15" s="330"/>
    </row>
    <row r="16" spans="1:13" ht="51.75">
      <c r="A16" s="75">
        <v>3</v>
      </c>
      <c r="B16" s="48"/>
      <c r="C16" s="48"/>
      <c r="D16" s="41"/>
      <c r="E16" s="42" t="s">
        <v>31</v>
      </c>
      <c r="F16" s="43">
        <f aca="true" t="shared" si="1" ref="F16:K16">F17</f>
        <v>843724.3999999999</v>
      </c>
      <c r="G16" s="43">
        <f t="shared" si="1"/>
        <v>3380000</v>
      </c>
      <c r="H16" s="43">
        <f t="shared" si="1"/>
        <v>208504.7</v>
      </c>
      <c r="I16" s="267">
        <f t="shared" si="1"/>
        <v>3833000</v>
      </c>
      <c r="J16" s="43">
        <f t="shared" si="1"/>
        <v>863720</v>
      </c>
      <c r="K16" s="43">
        <f t="shared" si="1"/>
        <v>0</v>
      </c>
      <c r="L16" s="69">
        <f aca="true" t="shared" si="2" ref="L16:L28">I16+J16+K16</f>
        <v>4696720</v>
      </c>
      <c r="M16" s="331"/>
    </row>
    <row r="17" spans="1:13" ht="15.75">
      <c r="A17" s="44"/>
      <c r="B17" s="26"/>
      <c r="C17" s="26"/>
      <c r="D17" s="11"/>
      <c r="E17" s="8" t="s">
        <v>9</v>
      </c>
      <c r="F17" s="9">
        <f>F19</f>
        <v>843724.3999999999</v>
      </c>
      <c r="G17" s="9">
        <f>G25</f>
        <v>3380000</v>
      </c>
      <c r="H17" s="9">
        <f>H25</f>
        <v>208504.7</v>
      </c>
      <c r="I17" s="269">
        <f>I25</f>
        <v>3833000</v>
      </c>
      <c r="J17" s="9">
        <f>J25</f>
        <v>863720</v>
      </c>
      <c r="K17" s="9">
        <f>K25</f>
        <v>0</v>
      </c>
      <c r="L17" s="83">
        <f t="shared" si="2"/>
        <v>4696720</v>
      </c>
      <c r="M17" s="256"/>
    </row>
    <row r="18" spans="1:13" ht="15.75">
      <c r="A18" s="44"/>
      <c r="B18" s="26"/>
      <c r="C18" s="26"/>
      <c r="D18" s="11"/>
      <c r="E18" s="8"/>
      <c r="F18" s="9"/>
      <c r="G18" s="9"/>
      <c r="H18" s="9"/>
      <c r="I18" s="269"/>
      <c r="J18" s="9"/>
      <c r="K18" s="9"/>
      <c r="L18" s="83"/>
      <c r="M18" s="256"/>
    </row>
    <row r="19" spans="1:13" ht="15.75">
      <c r="A19" s="44"/>
      <c r="B19" s="482">
        <v>2502</v>
      </c>
      <c r="C19" s="482"/>
      <c r="D19" s="11"/>
      <c r="E19" s="11" t="s">
        <v>10</v>
      </c>
      <c r="F19" s="9">
        <f aca="true" t="shared" si="3" ref="F19:K19">F20+F21+F22</f>
        <v>843724.3999999999</v>
      </c>
      <c r="G19" s="12">
        <f t="shared" si="3"/>
        <v>0</v>
      </c>
      <c r="H19" s="12">
        <f t="shared" si="3"/>
        <v>0</v>
      </c>
      <c r="I19" s="259">
        <f t="shared" si="3"/>
        <v>0</v>
      </c>
      <c r="J19" s="12">
        <f t="shared" si="3"/>
        <v>0</v>
      </c>
      <c r="K19" s="12">
        <f t="shared" si="3"/>
        <v>0</v>
      </c>
      <c r="L19" s="81">
        <f>I19+J19+K19</f>
        <v>0</v>
      </c>
      <c r="M19" s="256"/>
    </row>
    <row r="20" spans="1:13" ht="15.75">
      <c r="A20" s="44"/>
      <c r="B20" s="26"/>
      <c r="C20" s="26"/>
      <c r="D20" s="11">
        <v>12</v>
      </c>
      <c r="E20" s="11"/>
      <c r="F20" s="12">
        <v>703182.21</v>
      </c>
      <c r="G20" s="12">
        <v>0</v>
      </c>
      <c r="H20" s="12">
        <v>0</v>
      </c>
      <c r="I20" s="270">
        <v>0</v>
      </c>
      <c r="J20" s="70">
        <v>0</v>
      </c>
      <c r="K20" s="70">
        <v>0</v>
      </c>
      <c r="L20" s="74">
        <f>I20+J20+K20</f>
        <v>0</v>
      </c>
      <c r="M20" s="256">
        <f>703182207.87/1000</f>
        <v>703182.20787</v>
      </c>
    </row>
    <row r="21" spans="1:13" ht="15" customHeight="1">
      <c r="A21" s="44"/>
      <c r="B21" s="26"/>
      <c r="C21" s="26"/>
      <c r="D21" s="11">
        <v>14</v>
      </c>
      <c r="E21" s="11"/>
      <c r="F21" s="12">
        <v>44970.12</v>
      </c>
      <c r="G21" s="12">
        <v>0</v>
      </c>
      <c r="H21" s="12">
        <v>0</v>
      </c>
      <c r="I21" s="270">
        <v>0</v>
      </c>
      <c r="J21" s="70">
        <v>0</v>
      </c>
      <c r="K21" s="70">
        <v>0</v>
      </c>
      <c r="L21" s="74">
        <f>I21+J21+K21</f>
        <v>0</v>
      </c>
      <c r="M21" s="256">
        <f>44970115.46/1000</f>
        <v>44970.11546</v>
      </c>
    </row>
    <row r="22" spans="1:13" ht="15.75">
      <c r="A22" s="44"/>
      <c r="B22" s="11"/>
      <c r="C22" s="11"/>
      <c r="D22" s="11">
        <v>17</v>
      </c>
      <c r="E22" s="11"/>
      <c r="F22" s="12">
        <v>95572.07</v>
      </c>
      <c r="G22" s="12">
        <v>0</v>
      </c>
      <c r="H22" s="12">
        <v>0</v>
      </c>
      <c r="I22" s="270">
        <v>0</v>
      </c>
      <c r="J22" s="70">
        <v>0</v>
      </c>
      <c r="K22" s="70">
        <v>0</v>
      </c>
      <c r="L22" s="74">
        <f>I22+J22+K22</f>
        <v>0</v>
      </c>
      <c r="M22" s="256">
        <f>95572071.51/1000</f>
        <v>95572.07151000001</v>
      </c>
    </row>
    <row r="23" spans="1:13" ht="15.75">
      <c r="A23" s="44"/>
      <c r="B23" s="26"/>
      <c r="C23" s="26"/>
      <c r="D23" s="11"/>
      <c r="E23" s="8"/>
      <c r="F23" s="9"/>
      <c r="G23" s="9"/>
      <c r="H23" s="9"/>
      <c r="I23" s="269"/>
      <c r="J23" s="9"/>
      <c r="K23" s="9"/>
      <c r="L23" s="83"/>
      <c r="M23" s="256"/>
    </row>
    <row r="24" spans="1:13" ht="15.75">
      <c r="A24" s="44"/>
      <c r="B24" s="26"/>
      <c r="C24" s="26"/>
      <c r="D24" s="11"/>
      <c r="E24" s="8"/>
      <c r="F24" s="9"/>
      <c r="G24" s="9"/>
      <c r="H24" s="9"/>
      <c r="I24" s="269"/>
      <c r="J24" s="9"/>
      <c r="K24" s="9"/>
      <c r="L24" s="83"/>
      <c r="M24" s="256"/>
    </row>
    <row r="25" spans="1:16" ht="15.75">
      <c r="A25" s="44"/>
      <c r="B25" s="482">
        <v>2506</v>
      </c>
      <c r="C25" s="482"/>
      <c r="D25" s="11"/>
      <c r="E25" s="11" t="s">
        <v>10</v>
      </c>
      <c r="F25" s="12">
        <f aca="true" t="shared" si="4" ref="F25:K25">F26+F27+F28</f>
        <v>0</v>
      </c>
      <c r="G25" s="9">
        <f t="shared" si="4"/>
        <v>3380000</v>
      </c>
      <c r="H25" s="9">
        <f t="shared" si="4"/>
        <v>208504.7</v>
      </c>
      <c r="I25" s="269">
        <f>I26+I27+I28</f>
        <v>3833000</v>
      </c>
      <c r="J25" s="9">
        <f t="shared" si="4"/>
        <v>863720</v>
      </c>
      <c r="K25" s="12">
        <f t="shared" si="4"/>
        <v>0</v>
      </c>
      <c r="L25" s="83">
        <f t="shared" si="2"/>
        <v>4696720</v>
      </c>
      <c r="M25" s="256"/>
      <c r="P25" s="212"/>
    </row>
    <row r="26" spans="1:15" ht="15.75">
      <c r="A26" s="44"/>
      <c r="B26" s="26"/>
      <c r="C26" s="26"/>
      <c r="D26" s="11">
        <v>12</v>
      </c>
      <c r="E26" s="11"/>
      <c r="F26" s="12">
        <v>0</v>
      </c>
      <c r="G26" s="12">
        <v>2905000</v>
      </c>
      <c r="H26" s="61">
        <v>151896.22</v>
      </c>
      <c r="I26" s="270">
        <v>3085000</v>
      </c>
      <c r="J26" s="70">
        <v>471860</v>
      </c>
      <c r="K26" s="70">
        <v>0</v>
      </c>
      <c r="L26" s="74">
        <f t="shared" si="2"/>
        <v>3556860</v>
      </c>
      <c r="M26" s="216">
        <f>151896219.62/1000</f>
        <v>151896.21962000002</v>
      </c>
      <c r="N26" s="350">
        <f>418193849.7/1000</f>
        <v>418193.84969999996</v>
      </c>
      <c r="O26" s="132">
        <f>553*1000000</f>
        <v>553000000</v>
      </c>
    </row>
    <row r="27" spans="1:15" ht="15" customHeight="1">
      <c r="A27" s="44"/>
      <c r="B27" s="26"/>
      <c r="C27" s="26"/>
      <c r="D27" s="11">
        <v>14</v>
      </c>
      <c r="E27" s="11"/>
      <c r="F27" s="12">
        <v>0</v>
      </c>
      <c r="G27" s="12">
        <v>0</v>
      </c>
      <c r="H27" s="256">
        <v>0</v>
      </c>
      <c r="I27" s="270">
        <v>195000</v>
      </c>
      <c r="J27" s="70">
        <v>193960</v>
      </c>
      <c r="K27" s="70">
        <v>0</v>
      </c>
      <c r="L27" s="74">
        <f t="shared" si="2"/>
        <v>388960</v>
      </c>
      <c r="M27" s="216"/>
      <c r="N27" s="132"/>
      <c r="O27" s="132">
        <f>O26/1000</f>
        <v>553000</v>
      </c>
    </row>
    <row r="28" spans="1:14" ht="15.75">
      <c r="A28" s="45"/>
      <c r="B28" s="14"/>
      <c r="C28" s="14"/>
      <c r="D28" s="14">
        <v>17</v>
      </c>
      <c r="E28" s="14"/>
      <c r="F28" s="15">
        <v>0</v>
      </c>
      <c r="G28" s="15">
        <v>475000</v>
      </c>
      <c r="H28" s="38">
        <v>56608.48</v>
      </c>
      <c r="I28" s="271">
        <v>553000</v>
      </c>
      <c r="J28" s="72">
        <v>197900</v>
      </c>
      <c r="K28" s="72">
        <v>0</v>
      </c>
      <c r="L28" s="73">
        <f t="shared" si="2"/>
        <v>750900</v>
      </c>
      <c r="M28" s="216">
        <f>56608478.58/1000</f>
        <v>56608.478579999995</v>
      </c>
      <c r="N28" s="350">
        <f>57675733.2/1000</f>
        <v>57675.7332</v>
      </c>
    </row>
    <row r="29" spans="1:17" s="139" customFormat="1" ht="12" customHeight="1" hidden="1">
      <c r="A29" s="133"/>
      <c r="B29" s="134"/>
      <c r="C29" s="135"/>
      <c r="D29" s="135"/>
      <c r="E29" s="136"/>
      <c r="F29" s="137"/>
      <c r="G29" s="137"/>
      <c r="H29" s="137"/>
      <c r="I29" s="272"/>
      <c r="J29" s="137"/>
      <c r="K29" s="137"/>
      <c r="L29" s="138"/>
      <c r="M29" s="332"/>
      <c r="N29" s="216"/>
      <c r="O29" s="140"/>
      <c r="P29" s="132"/>
      <c r="Q29" s="140"/>
    </row>
    <row r="30" spans="1:17" s="139" customFormat="1" ht="49.5" customHeight="1" hidden="1">
      <c r="A30" s="133">
        <v>7</v>
      </c>
      <c r="B30" s="134"/>
      <c r="C30" s="135"/>
      <c r="D30" s="135"/>
      <c r="E30" s="141" t="s">
        <v>26</v>
      </c>
      <c r="F30" s="142">
        <f aca="true" t="shared" si="5" ref="F30:G32">F31</f>
        <v>0</v>
      </c>
      <c r="G30" s="137">
        <f t="shared" si="5"/>
        <v>0</v>
      </c>
      <c r="H30" s="137"/>
      <c r="I30" s="272"/>
      <c r="J30" s="137"/>
      <c r="K30" s="137"/>
      <c r="L30" s="138"/>
      <c r="M30" s="332"/>
      <c r="N30" s="216"/>
      <c r="O30" s="140"/>
      <c r="P30" s="132"/>
      <c r="Q30" s="140"/>
    </row>
    <row r="31" spans="1:17" s="139" customFormat="1" ht="17.25" hidden="1">
      <c r="A31" s="133"/>
      <c r="B31" s="134"/>
      <c r="C31" s="135"/>
      <c r="D31" s="135"/>
      <c r="E31" s="143" t="s">
        <v>9</v>
      </c>
      <c r="F31" s="137">
        <f t="shared" si="5"/>
        <v>0</v>
      </c>
      <c r="G31" s="137">
        <f t="shared" si="5"/>
        <v>0</v>
      </c>
      <c r="H31" s="137"/>
      <c r="I31" s="272"/>
      <c r="J31" s="137"/>
      <c r="K31" s="137"/>
      <c r="L31" s="138"/>
      <c r="M31" s="332"/>
      <c r="N31" s="216"/>
      <c r="O31" s="140"/>
      <c r="P31" s="132"/>
      <c r="Q31" s="140"/>
    </row>
    <row r="32" spans="1:17" s="139" customFormat="1" ht="31.5" hidden="1">
      <c r="A32" s="133"/>
      <c r="B32" s="500">
        <v>2504</v>
      </c>
      <c r="C32" s="500"/>
      <c r="D32" s="144"/>
      <c r="E32" s="145" t="s">
        <v>21</v>
      </c>
      <c r="F32" s="125">
        <f t="shared" si="5"/>
        <v>0</v>
      </c>
      <c r="G32" s="146">
        <f t="shared" si="5"/>
        <v>0</v>
      </c>
      <c r="H32" s="146"/>
      <c r="I32" s="273"/>
      <c r="J32" s="146"/>
      <c r="K32" s="146"/>
      <c r="L32" s="147"/>
      <c r="M32" s="322"/>
      <c r="N32" s="216"/>
      <c r="O32" s="140"/>
      <c r="P32" s="132"/>
      <c r="Q32" s="140"/>
    </row>
    <row r="33" spans="1:17" s="139" customFormat="1" ht="15.75" hidden="1">
      <c r="A33" s="148"/>
      <c r="B33" s="149"/>
      <c r="C33" s="149"/>
      <c r="D33" s="150">
        <v>12</v>
      </c>
      <c r="E33" s="151"/>
      <c r="F33" s="128">
        <v>0</v>
      </c>
      <c r="G33" s="128">
        <v>0</v>
      </c>
      <c r="H33" s="129"/>
      <c r="I33" s="274"/>
      <c r="J33" s="130"/>
      <c r="K33" s="131"/>
      <c r="L33" s="152"/>
      <c r="M33" s="323"/>
      <c r="N33" s="216"/>
      <c r="O33" s="140"/>
      <c r="P33" s="132"/>
      <c r="Q33" s="140"/>
    </row>
    <row r="34" spans="1:17" s="139" customFormat="1" ht="51.75" hidden="1">
      <c r="A34" s="75">
        <v>5</v>
      </c>
      <c r="B34" s="51"/>
      <c r="C34" s="51"/>
      <c r="D34" s="51"/>
      <c r="E34" s="52" t="s">
        <v>54</v>
      </c>
      <c r="F34" s="53">
        <f>F35</f>
        <v>0</v>
      </c>
      <c r="G34" s="43">
        <f>G35</f>
        <v>0</v>
      </c>
      <c r="H34" s="43"/>
      <c r="I34" s="267"/>
      <c r="J34" s="126"/>
      <c r="K34" s="127"/>
      <c r="L34" s="153"/>
      <c r="M34" s="323"/>
      <c r="N34" s="216"/>
      <c r="O34" s="140"/>
      <c r="P34" s="132"/>
      <c r="Q34" s="140"/>
    </row>
    <row r="35" spans="1:17" s="139" customFormat="1" ht="15.75" hidden="1">
      <c r="A35" s="44"/>
      <c r="B35" s="11"/>
      <c r="C35" s="11"/>
      <c r="D35" s="11"/>
      <c r="E35" s="5" t="s">
        <v>9</v>
      </c>
      <c r="F35" s="9">
        <f>F36</f>
        <v>0</v>
      </c>
      <c r="G35" s="54">
        <f>G36</f>
        <v>0</v>
      </c>
      <c r="H35" s="54"/>
      <c r="I35" s="275"/>
      <c r="J35" s="126"/>
      <c r="K35" s="127"/>
      <c r="L35" s="153"/>
      <c r="M35" s="323"/>
      <c r="N35" s="216"/>
      <c r="O35" s="140"/>
      <c r="P35" s="132"/>
      <c r="Q35" s="140"/>
    </row>
    <row r="36" spans="1:17" s="139" customFormat="1" ht="31.5" hidden="1">
      <c r="A36" s="44"/>
      <c r="B36" s="482">
        <v>2504</v>
      </c>
      <c r="C36" s="482"/>
      <c r="D36" s="11"/>
      <c r="E36" s="46" t="s">
        <v>21</v>
      </c>
      <c r="F36" s="12">
        <f>F37+F38</f>
        <v>0</v>
      </c>
      <c r="G36" s="49">
        <f>G37+G38</f>
        <v>0</v>
      </c>
      <c r="H36" s="49"/>
      <c r="I36" s="276"/>
      <c r="J36" s="126"/>
      <c r="K36" s="127"/>
      <c r="L36" s="153"/>
      <c r="M36" s="323"/>
      <c r="N36" s="216"/>
      <c r="O36" s="140"/>
      <c r="P36" s="132"/>
      <c r="Q36" s="140"/>
    </row>
    <row r="37" spans="1:17" s="139" customFormat="1" ht="15.75" hidden="1">
      <c r="A37" s="44"/>
      <c r="B37" s="11"/>
      <c r="C37" s="11"/>
      <c r="D37" s="11">
        <v>12</v>
      </c>
      <c r="E37" s="11"/>
      <c r="F37" s="12">
        <v>0</v>
      </c>
      <c r="G37" s="12">
        <v>0</v>
      </c>
      <c r="H37" s="37"/>
      <c r="I37" s="270"/>
      <c r="J37" s="126"/>
      <c r="K37" s="127"/>
      <c r="L37" s="153"/>
      <c r="M37" s="323"/>
      <c r="N37" s="216"/>
      <c r="O37" s="140"/>
      <c r="P37" s="132"/>
      <c r="Q37" s="140"/>
    </row>
    <row r="38" spans="1:17" s="139" customFormat="1" ht="15.75" hidden="1">
      <c r="A38" s="45"/>
      <c r="B38" s="14"/>
      <c r="C38" s="14"/>
      <c r="D38" s="14">
        <v>17</v>
      </c>
      <c r="E38" s="14"/>
      <c r="F38" s="15">
        <v>0</v>
      </c>
      <c r="G38" s="15">
        <v>0</v>
      </c>
      <c r="H38" s="38"/>
      <c r="I38" s="271"/>
      <c r="J38" s="130"/>
      <c r="K38" s="131"/>
      <c r="L38" s="152"/>
      <c r="M38" s="323"/>
      <c r="N38" s="216"/>
      <c r="O38" s="140"/>
      <c r="P38" s="132"/>
      <c r="Q38" s="140"/>
    </row>
    <row r="39" spans="1:17" s="139" customFormat="1" ht="34.5">
      <c r="A39" s="75">
        <v>6</v>
      </c>
      <c r="B39" s="41"/>
      <c r="C39" s="41"/>
      <c r="D39" s="41"/>
      <c r="E39" s="42" t="s">
        <v>55</v>
      </c>
      <c r="F39" s="53">
        <f aca="true" t="shared" si="6" ref="F39:H40">F40</f>
        <v>2799.9</v>
      </c>
      <c r="G39" s="53">
        <f t="shared" si="6"/>
        <v>0</v>
      </c>
      <c r="H39" s="53">
        <f t="shared" si="6"/>
        <v>0</v>
      </c>
      <c r="I39" s="277">
        <f aca="true" t="shared" si="7" ref="I39:L40">I40</f>
        <v>0</v>
      </c>
      <c r="J39" s="77">
        <f t="shared" si="7"/>
        <v>0</v>
      </c>
      <c r="K39" s="77">
        <f t="shared" si="7"/>
        <v>0</v>
      </c>
      <c r="L39" s="76">
        <f t="shared" si="7"/>
        <v>0</v>
      </c>
      <c r="M39" s="333"/>
      <c r="N39" s="216"/>
      <c r="O39" s="140"/>
      <c r="P39" s="132"/>
      <c r="Q39" s="140"/>
    </row>
    <row r="40" spans="1:17" s="139" customFormat="1" ht="15.75">
      <c r="A40" s="44"/>
      <c r="B40" s="11"/>
      <c r="C40" s="11"/>
      <c r="D40" s="11"/>
      <c r="E40" s="5" t="s">
        <v>9</v>
      </c>
      <c r="F40" s="9">
        <f t="shared" si="6"/>
        <v>2799.9</v>
      </c>
      <c r="G40" s="9">
        <f t="shared" si="6"/>
        <v>0</v>
      </c>
      <c r="H40" s="9">
        <f t="shared" si="6"/>
        <v>0</v>
      </c>
      <c r="I40" s="269">
        <f t="shared" si="7"/>
        <v>0</v>
      </c>
      <c r="J40" s="2">
        <f t="shared" si="7"/>
        <v>0</v>
      </c>
      <c r="K40" s="2">
        <f t="shared" si="7"/>
        <v>0</v>
      </c>
      <c r="L40" s="83">
        <f t="shared" si="7"/>
        <v>0</v>
      </c>
      <c r="M40" s="256"/>
      <c r="N40" s="216"/>
      <c r="O40" s="140"/>
      <c r="P40" s="132"/>
      <c r="Q40" s="140"/>
    </row>
    <row r="41" spans="1:17" s="139" customFormat="1" ht="15.75">
      <c r="A41" s="44"/>
      <c r="B41" s="482">
        <v>2504</v>
      </c>
      <c r="C41" s="482"/>
      <c r="D41" s="11"/>
      <c r="E41" s="326" t="s">
        <v>10</v>
      </c>
      <c r="F41" s="12">
        <f aca="true" t="shared" si="8" ref="F41:K41">F42+F43</f>
        <v>2799.9</v>
      </c>
      <c r="G41" s="49">
        <f t="shared" si="8"/>
        <v>0</v>
      </c>
      <c r="H41" s="49">
        <f t="shared" si="8"/>
        <v>0</v>
      </c>
      <c r="I41" s="276">
        <f t="shared" si="8"/>
        <v>0</v>
      </c>
      <c r="J41" s="49">
        <f t="shared" si="8"/>
        <v>0</v>
      </c>
      <c r="K41" s="49">
        <f t="shared" si="8"/>
        <v>0</v>
      </c>
      <c r="L41" s="71">
        <f aca="true" t="shared" si="9" ref="L41:L54">I41+J41+K41</f>
        <v>0</v>
      </c>
      <c r="M41" s="324"/>
      <c r="N41" s="216"/>
      <c r="O41" s="140"/>
      <c r="P41" s="132"/>
      <c r="Q41" s="140"/>
    </row>
    <row r="42" spans="1:17" s="139" customFormat="1" ht="15.75">
      <c r="A42" s="44"/>
      <c r="B42" s="11"/>
      <c r="C42" s="11"/>
      <c r="D42" s="11">
        <v>14</v>
      </c>
      <c r="E42" s="11"/>
      <c r="F42" s="12">
        <v>2799.9</v>
      </c>
      <c r="G42" s="12">
        <v>0</v>
      </c>
      <c r="H42" s="12">
        <v>0</v>
      </c>
      <c r="I42" s="259">
        <v>0</v>
      </c>
      <c r="J42" s="21">
        <v>0</v>
      </c>
      <c r="K42" s="21">
        <v>0</v>
      </c>
      <c r="L42" s="71">
        <f t="shared" si="9"/>
        <v>0</v>
      </c>
      <c r="M42" s="324">
        <f>2799898/1000</f>
        <v>2799.898</v>
      </c>
      <c r="N42" s="216"/>
      <c r="O42" s="140"/>
      <c r="P42" s="132"/>
      <c r="Q42" s="140"/>
    </row>
    <row r="43" spans="1:17" s="139" customFormat="1" ht="15.75">
      <c r="A43" s="45"/>
      <c r="B43" s="14"/>
      <c r="C43" s="14"/>
      <c r="D43" s="14">
        <v>17</v>
      </c>
      <c r="E43" s="14"/>
      <c r="F43" s="15">
        <v>0</v>
      </c>
      <c r="G43" s="15">
        <v>0</v>
      </c>
      <c r="H43" s="15">
        <v>0</v>
      </c>
      <c r="I43" s="260">
        <v>0</v>
      </c>
      <c r="J43" s="20">
        <f>0</f>
        <v>0</v>
      </c>
      <c r="K43" s="20">
        <f>0</f>
        <v>0</v>
      </c>
      <c r="L43" s="103">
        <f t="shared" si="9"/>
        <v>0</v>
      </c>
      <c r="M43" s="324"/>
      <c r="N43" s="216"/>
      <c r="O43" s="132"/>
      <c r="P43" s="132"/>
      <c r="Q43" s="140"/>
    </row>
    <row r="44" spans="1:17" s="139" customFormat="1" ht="51.75">
      <c r="A44" s="75">
        <v>7</v>
      </c>
      <c r="B44" s="41"/>
      <c r="C44" s="41"/>
      <c r="D44" s="41"/>
      <c r="E44" s="42" t="s">
        <v>56</v>
      </c>
      <c r="F44" s="53">
        <f>F45</f>
        <v>2992405.01</v>
      </c>
      <c r="G44" s="53">
        <f aca="true" t="shared" si="10" ref="G44:K45">G45</f>
        <v>1312000</v>
      </c>
      <c r="H44" s="53">
        <f t="shared" si="10"/>
        <v>824611.3200000001</v>
      </c>
      <c r="I44" s="277">
        <f t="shared" si="10"/>
        <v>0</v>
      </c>
      <c r="J44" s="53">
        <f t="shared" si="10"/>
        <v>0</v>
      </c>
      <c r="K44" s="53">
        <f t="shared" si="10"/>
        <v>0</v>
      </c>
      <c r="L44" s="76">
        <f t="shared" si="9"/>
        <v>0</v>
      </c>
      <c r="M44" s="333"/>
      <c r="N44" s="216"/>
      <c r="O44" s="140"/>
      <c r="P44" s="132"/>
      <c r="Q44" s="140"/>
    </row>
    <row r="45" spans="1:17" s="139" customFormat="1" ht="15.75">
      <c r="A45" s="44"/>
      <c r="B45" s="11"/>
      <c r="C45" s="11"/>
      <c r="D45" s="11"/>
      <c r="E45" s="8" t="s">
        <v>9</v>
      </c>
      <c r="F45" s="9">
        <f>F46</f>
        <v>2992405.01</v>
      </c>
      <c r="G45" s="9">
        <f t="shared" si="10"/>
        <v>1312000</v>
      </c>
      <c r="H45" s="9">
        <f t="shared" si="10"/>
        <v>824611.3200000001</v>
      </c>
      <c r="I45" s="269">
        <f t="shared" si="10"/>
        <v>0</v>
      </c>
      <c r="J45" s="9">
        <f t="shared" si="10"/>
        <v>0</v>
      </c>
      <c r="K45" s="9">
        <f t="shared" si="10"/>
        <v>0</v>
      </c>
      <c r="L45" s="83">
        <f t="shared" si="9"/>
        <v>0</v>
      </c>
      <c r="M45" s="256"/>
      <c r="N45" s="216"/>
      <c r="O45" s="140"/>
      <c r="P45" s="132"/>
      <c r="Q45" s="140"/>
    </row>
    <row r="46" spans="1:17" s="139" customFormat="1" ht="15.75">
      <c r="A46" s="44"/>
      <c r="B46" s="482">
        <v>2504</v>
      </c>
      <c r="C46" s="482"/>
      <c r="D46" s="11"/>
      <c r="E46" s="11" t="s">
        <v>10</v>
      </c>
      <c r="F46" s="12">
        <f aca="true" t="shared" si="11" ref="F46:K46">F47+F48+F49</f>
        <v>2992405.01</v>
      </c>
      <c r="G46" s="12">
        <f t="shared" si="11"/>
        <v>1312000</v>
      </c>
      <c r="H46" s="12">
        <f t="shared" si="11"/>
        <v>824611.3200000001</v>
      </c>
      <c r="I46" s="259">
        <f t="shared" si="11"/>
        <v>0</v>
      </c>
      <c r="J46" s="12">
        <f t="shared" si="11"/>
        <v>0</v>
      </c>
      <c r="K46" s="12">
        <f t="shared" si="11"/>
        <v>0</v>
      </c>
      <c r="L46" s="81">
        <f t="shared" si="9"/>
        <v>0</v>
      </c>
      <c r="M46" s="256"/>
      <c r="N46" s="216"/>
      <c r="O46" s="140"/>
      <c r="P46" s="132"/>
      <c r="Q46" s="140"/>
    </row>
    <row r="47" spans="1:17" s="139" customFormat="1" ht="15.75">
      <c r="A47" s="44"/>
      <c r="B47" s="11"/>
      <c r="C47" s="11"/>
      <c r="D47" s="11">
        <v>12</v>
      </c>
      <c r="E47" s="11"/>
      <c r="F47" s="12">
        <v>2571947.34</v>
      </c>
      <c r="G47" s="12">
        <v>1050000</v>
      </c>
      <c r="H47" s="37">
        <v>684836.88</v>
      </c>
      <c r="I47" s="259">
        <v>0</v>
      </c>
      <c r="J47" s="21">
        <v>0</v>
      </c>
      <c r="K47" s="21">
        <v>0</v>
      </c>
      <c r="L47" s="81">
        <f t="shared" si="9"/>
        <v>0</v>
      </c>
      <c r="M47" s="256">
        <f>2571947343.14/1000</f>
        <v>2571947.34314</v>
      </c>
      <c r="N47" s="216">
        <f>(750000000+300000000)/1000</f>
        <v>1050000</v>
      </c>
      <c r="O47" s="132">
        <f>684836875.46/1000</f>
        <v>684836.87546</v>
      </c>
      <c r="P47" s="140">
        <f>776253608.33/1000</f>
        <v>776253.6083300001</v>
      </c>
      <c r="Q47" s="140"/>
    </row>
    <row r="48" spans="1:17" s="139" customFormat="1" ht="15.75" hidden="1">
      <c r="A48" s="44"/>
      <c r="B48" s="11"/>
      <c r="C48" s="11"/>
      <c r="D48" s="11">
        <v>14</v>
      </c>
      <c r="E48" s="11"/>
      <c r="F48" s="12">
        <v>0</v>
      </c>
      <c r="G48" s="12">
        <v>0</v>
      </c>
      <c r="H48" s="12">
        <v>0</v>
      </c>
      <c r="I48" s="259">
        <v>0</v>
      </c>
      <c r="J48" s="21">
        <v>0</v>
      </c>
      <c r="K48" s="21">
        <v>0</v>
      </c>
      <c r="L48" s="81">
        <f t="shared" si="9"/>
        <v>0</v>
      </c>
      <c r="M48" s="256"/>
      <c r="N48" s="216"/>
      <c r="O48" s="132"/>
      <c r="P48" s="140"/>
      <c r="Q48" s="140"/>
    </row>
    <row r="49" spans="1:17" s="139" customFormat="1" ht="15.75">
      <c r="A49" s="45"/>
      <c r="B49" s="14"/>
      <c r="C49" s="14"/>
      <c r="D49" s="14">
        <v>17</v>
      </c>
      <c r="E49" s="14"/>
      <c r="F49" s="15">
        <v>420457.67</v>
      </c>
      <c r="G49" s="15">
        <v>262000</v>
      </c>
      <c r="H49" s="38">
        <v>139774.44</v>
      </c>
      <c r="I49" s="260">
        <v>0</v>
      </c>
      <c r="J49" s="20">
        <f>0</f>
        <v>0</v>
      </c>
      <c r="K49" s="20">
        <f>0</f>
        <v>0</v>
      </c>
      <c r="L49" s="81">
        <f t="shared" si="9"/>
        <v>0</v>
      </c>
      <c r="M49" s="256">
        <f>420457665/1000</f>
        <v>420457.665</v>
      </c>
      <c r="N49" s="216">
        <f>(150000000+112000000)/1000</f>
        <v>262000</v>
      </c>
      <c r="O49" s="132">
        <f>139774441.99/1000</f>
        <v>139774.44199000002</v>
      </c>
      <c r="P49" s="140">
        <f>189004228.21/1000</f>
        <v>189004.22821</v>
      </c>
      <c r="Q49" s="140"/>
    </row>
    <row r="50" spans="1:17" s="139" customFormat="1" ht="78.75" customHeight="1">
      <c r="A50" s="75">
        <v>8</v>
      </c>
      <c r="B50" s="51"/>
      <c r="C50" s="51"/>
      <c r="D50" s="51"/>
      <c r="E50" s="55" t="s">
        <v>57</v>
      </c>
      <c r="F50" s="53">
        <f>F51</f>
        <v>24707.06</v>
      </c>
      <c r="G50" s="53">
        <f>G51</f>
        <v>40000</v>
      </c>
      <c r="H50" s="53">
        <f aca="true" t="shared" si="12" ref="H50:K51">H51</f>
        <v>0</v>
      </c>
      <c r="I50" s="277">
        <f t="shared" si="12"/>
        <v>30000</v>
      </c>
      <c r="J50" s="77">
        <f t="shared" si="12"/>
        <v>0</v>
      </c>
      <c r="K50" s="77">
        <f t="shared" si="12"/>
        <v>0</v>
      </c>
      <c r="L50" s="76">
        <f t="shared" si="9"/>
        <v>30000</v>
      </c>
      <c r="M50" s="333"/>
      <c r="N50" s="216"/>
      <c r="O50" s="140"/>
      <c r="P50" s="132"/>
      <c r="Q50" s="140"/>
    </row>
    <row r="51" spans="1:17" s="139" customFormat="1" ht="15.75">
      <c r="A51" s="44"/>
      <c r="B51" s="11"/>
      <c r="C51" s="11"/>
      <c r="D51" s="11"/>
      <c r="E51" s="8" t="s">
        <v>9</v>
      </c>
      <c r="F51" s="9">
        <f>F52</f>
        <v>24707.06</v>
      </c>
      <c r="G51" s="9">
        <f>G52</f>
        <v>40000</v>
      </c>
      <c r="H51" s="9">
        <f t="shared" si="12"/>
        <v>0</v>
      </c>
      <c r="I51" s="269">
        <f t="shared" si="12"/>
        <v>30000</v>
      </c>
      <c r="J51" s="2">
        <f t="shared" si="12"/>
        <v>0</v>
      </c>
      <c r="K51" s="2">
        <f t="shared" si="12"/>
        <v>0</v>
      </c>
      <c r="L51" s="83">
        <f t="shared" si="9"/>
        <v>30000</v>
      </c>
      <c r="M51" s="256"/>
      <c r="N51" s="216"/>
      <c r="O51" s="140"/>
      <c r="P51" s="132"/>
      <c r="Q51" s="140"/>
    </row>
    <row r="52" spans="1:17" s="139" customFormat="1" ht="15.75">
      <c r="A52" s="44"/>
      <c r="B52" s="482">
        <v>2504</v>
      </c>
      <c r="C52" s="482"/>
      <c r="D52" s="11"/>
      <c r="E52" s="11" t="s">
        <v>10</v>
      </c>
      <c r="F52" s="12">
        <f>F54+F53</f>
        <v>24707.06</v>
      </c>
      <c r="G52" s="12">
        <f>G54+G53</f>
        <v>40000</v>
      </c>
      <c r="H52" s="12">
        <f>H54+H53</f>
        <v>0</v>
      </c>
      <c r="I52" s="259">
        <f>I53+I54</f>
        <v>30000</v>
      </c>
      <c r="J52" s="12">
        <f>J54+J53</f>
        <v>0</v>
      </c>
      <c r="K52" s="12">
        <f>K54+K53</f>
        <v>0</v>
      </c>
      <c r="L52" s="81">
        <f t="shared" si="9"/>
        <v>30000</v>
      </c>
      <c r="M52" s="256"/>
      <c r="N52" s="216"/>
      <c r="O52" s="140"/>
      <c r="P52" s="132"/>
      <c r="Q52" s="140"/>
    </row>
    <row r="53" spans="1:17" s="139" customFormat="1" ht="15.75">
      <c r="A53" s="44"/>
      <c r="B53" s="26"/>
      <c r="C53" s="26"/>
      <c r="D53" s="11">
        <v>12</v>
      </c>
      <c r="E53" s="11"/>
      <c r="F53" s="12">
        <v>24707.06</v>
      </c>
      <c r="G53" s="12">
        <v>20000</v>
      </c>
      <c r="H53" s="12">
        <v>0</v>
      </c>
      <c r="I53" s="259">
        <v>30000</v>
      </c>
      <c r="J53" s="21">
        <v>0</v>
      </c>
      <c r="K53" s="21">
        <v>0</v>
      </c>
      <c r="L53" s="81">
        <f t="shared" si="9"/>
        <v>30000</v>
      </c>
      <c r="M53" s="256">
        <f>24707064.18/1000</f>
        <v>24707.06418</v>
      </c>
      <c r="N53" s="351">
        <f>9951534.32/1000</f>
        <v>9951.53432</v>
      </c>
      <c r="O53" s="140"/>
      <c r="P53" s="132"/>
      <c r="Q53" s="140"/>
    </row>
    <row r="54" spans="1:17" s="139" customFormat="1" ht="15.75">
      <c r="A54" s="45"/>
      <c r="B54" s="14"/>
      <c r="C54" s="14"/>
      <c r="D54" s="14">
        <v>13</v>
      </c>
      <c r="E54" s="14"/>
      <c r="F54" s="15">
        <v>0</v>
      </c>
      <c r="G54" s="15">
        <v>20000</v>
      </c>
      <c r="H54" s="15">
        <v>0</v>
      </c>
      <c r="I54" s="260">
        <v>0</v>
      </c>
      <c r="J54" s="20">
        <v>0</v>
      </c>
      <c r="K54" s="20">
        <v>0</v>
      </c>
      <c r="L54" s="84">
        <f t="shared" si="9"/>
        <v>0</v>
      </c>
      <c r="M54" s="256"/>
      <c r="N54" s="216"/>
      <c r="O54" s="140"/>
      <c r="P54" s="132"/>
      <c r="Q54" s="140"/>
    </row>
    <row r="55" spans="1:17" s="139" customFormat="1" ht="51.75">
      <c r="A55" s="80">
        <v>9</v>
      </c>
      <c r="B55" s="56"/>
      <c r="C55" s="56"/>
      <c r="D55" s="56"/>
      <c r="E55" s="42" t="s">
        <v>58</v>
      </c>
      <c r="F55" s="53">
        <f aca="true" t="shared" si="13" ref="F55:J56">F56</f>
        <v>11532.130000000001</v>
      </c>
      <c r="G55" s="53">
        <f t="shared" si="13"/>
        <v>15400</v>
      </c>
      <c r="H55" s="36">
        <f t="shared" si="13"/>
        <v>6659.96</v>
      </c>
      <c r="I55" s="278">
        <f t="shared" si="13"/>
        <v>12450</v>
      </c>
      <c r="J55" s="349">
        <f t="shared" si="13"/>
        <v>0</v>
      </c>
      <c r="K55" s="111">
        <f>K56</f>
        <v>0</v>
      </c>
      <c r="L55" s="78">
        <f>I55+J55+K55</f>
        <v>12450</v>
      </c>
      <c r="M55" s="333"/>
      <c r="N55" s="216"/>
      <c r="O55" s="140"/>
      <c r="P55" s="132"/>
      <c r="Q55" s="140"/>
    </row>
    <row r="56" spans="1:17" s="139" customFormat="1" ht="15.75">
      <c r="A56" s="82"/>
      <c r="B56" s="8"/>
      <c r="C56" s="8"/>
      <c r="D56" s="8"/>
      <c r="E56" s="5" t="s">
        <v>9</v>
      </c>
      <c r="F56" s="9">
        <f t="shared" si="13"/>
        <v>11532.130000000001</v>
      </c>
      <c r="G56" s="9">
        <f t="shared" si="13"/>
        <v>15400</v>
      </c>
      <c r="H56" s="40">
        <f t="shared" si="13"/>
        <v>6659.96</v>
      </c>
      <c r="I56" s="279">
        <f>I57</f>
        <v>12450</v>
      </c>
      <c r="J56" s="348">
        <f t="shared" si="13"/>
        <v>0</v>
      </c>
      <c r="K56" s="2">
        <f>K57</f>
        <v>0</v>
      </c>
      <c r="L56" s="105">
        <f>I56+J56+K56</f>
        <v>12450</v>
      </c>
      <c r="M56" s="256"/>
      <c r="N56" s="216"/>
      <c r="O56" s="140"/>
      <c r="P56" s="132"/>
      <c r="Q56" s="140"/>
    </row>
    <row r="57" spans="1:17" s="139" customFormat="1" ht="15.75">
      <c r="A57" s="44"/>
      <c r="B57" s="482">
        <v>2504</v>
      </c>
      <c r="C57" s="482"/>
      <c r="D57" s="11"/>
      <c r="E57" s="11" t="s">
        <v>10</v>
      </c>
      <c r="F57" s="12">
        <f aca="true" t="shared" si="14" ref="F57:K57">F58+F59</f>
        <v>11532.130000000001</v>
      </c>
      <c r="G57" s="12">
        <f t="shared" si="14"/>
        <v>15400</v>
      </c>
      <c r="H57" s="12">
        <f>H58+H59</f>
        <v>6659.96</v>
      </c>
      <c r="I57" s="259">
        <f>I58+I59</f>
        <v>12450</v>
      </c>
      <c r="J57" s="12">
        <f t="shared" si="14"/>
        <v>0</v>
      </c>
      <c r="K57" s="12">
        <f t="shared" si="14"/>
        <v>0</v>
      </c>
      <c r="L57" s="81">
        <f>J57+K57+I57</f>
        <v>12450</v>
      </c>
      <c r="M57" s="256"/>
      <c r="N57" s="216"/>
      <c r="O57" s="140"/>
      <c r="P57" s="132"/>
      <c r="Q57" s="140"/>
    </row>
    <row r="58" spans="1:20" s="139" customFormat="1" ht="15.75">
      <c r="A58" s="44"/>
      <c r="B58" s="11"/>
      <c r="C58" s="11"/>
      <c r="D58" s="11">
        <v>14</v>
      </c>
      <c r="E58" s="11"/>
      <c r="F58" s="12">
        <v>11143.28</v>
      </c>
      <c r="G58" s="12">
        <v>15000</v>
      </c>
      <c r="H58" s="37">
        <v>6293.03</v>
      </c>
      <c r="I58" s="259">
        <v>7750</v>
      </c>
      <c r="J58" s="21">
        <v>0</v>
      </c>
      <c r="K58" s="21">
        <v>0</v>
      </c>
      <c r="L58" s="81">
        <f>J58+K58+I58</f>
        <v>7750</v>
      </c>
      <c r="M58" s="256">
        <f>11143277.48/1000</f>
        <v>11143.27748</v>
      </c>
      <c r="N58" s="132">
        <f>6293030.05/1000</f>
        <v>6293.030049999999</v>
      </c>
      <c r="O58" s="351">
        <f>6475811.83/1000</f>
        <v>6475.81183</v>
      </c>
      <c r="P58" s="132"/>
      <c r="Q58" s="132"/>
      <c r="T58" s="140"/>
    </row>
    <row r="59" spans="1:17" s="139" customFormat="1" ht="15.75">
      <c r="A59" s="45"/>
      <c r="B59" s="14"/>
      <c r="C59" s="14"/>
      <c r="D59" s="14">
        <v>17</v>
      </c>
      <c r="E59" s="14"/>
      <c r="F59" s="15">
        <v>388.85</v>
      </c>
      <c r="G59" s="15">
        <v>400</v>
      </c>
      <c r="H59" s="38">
        <v>366.93</v>
      </c>
      <c r="I59" s="260">
        <v>4700</v>
      </c>
      <c r="J59" s="20">
        <v>0</v>
      </c>
      <c r="K59" s="20">
        <v>0</v>
      </c>
      <c r="L59" s="84">
        <f>J59+K59+I59</f>
        <v>4700</v>
      </c>
      <c r="M59" s="256">
        <f>388846.93/1000</f>
        <v>388.84693</v>
      </c>
      <c r="N59" s="132">
        <f>366932.3/1000</f>
        <v>366.9323</v>
      </c>
      <c r="O59" s="351">
        <f>353194.35/1000</f>
        <v>353.19435</v>
      </c>
      <c r="P59" s="132"/>
      <c r="Q59" s="132"/>
    </row>
    <row r="60" spans="1:17" s="139" customFormat="1" ht="79.5">
      <c r="A60" s="80">
        <v>10</v>
      </c>
      <c r="B60" s="56"/>
      <c r="C60" s="56"/>
      <c r="D60" s="56"/>
      <c r="E60" s="91" t="s">
        <v>72</v>
      </c>
      <c r="F60" s="85">
        <f aca="true" t="shared" si="15" ref="F60:K60">F61</f>
        <v>35293.240000000005</v>
      </c>
      <c r="G60" s="85">
        <f t="shared" si="15"/>
        <v>280000</v>
      </c>
      <c r="H60" s="85">
        <f t="shared" si="15"/>
        <v>50605.98</v>
      </c>
      <c r="I60" s="280">
        <f t="shared" si="15"/>
        <v>476000</v>
      </c>
      <c r="J60" s="111">
        <f t="shared" si="15"/>
        <v>604910</v>
      </c>
      <c r="K60" s="111">
        <f t="shared" si="15"/>
        <v>0</v>
      </c>
      <c r="L60" s="112">
        <f aca="true" t="shared" si="16" ref="L60:L114">I60+J60+K60</f>
        <v>1080910</v>
      </c>
      <c r="M60" s="334"/>
      <c r="N60" s="216"/>
      <c r="O60" s="140"/>
      <c r="P60" s="132"/>
      <c r="Q60" s="140"/>
    </row>
    <row r="61" spans="1:17" s="139" customFormat="1" ht="15.75">
      <c r="A61" s="44"/>
      <c r="B61" s="8"/>
      <c r="C61" s="8"/>
      <c r="D61" s="8"/>
      <c r="E61" s="5" t="s">
        <v>9</v>
      </c>
      <c r="F61" s="9">
        <f>F63</f>
        <v>35293.240000000005</v>
      </c>
      <c r="G61" s="9">
        <f>G68</f>
        <v>280000</v>
      </c>
      <c r="H61" s="9">
        <f>H68</f>
        <v>50605.98</v>
      </c>
      <c r="I61" s="269">
        <f>I68</f>
        <v>476000</v>
      </c>
      <c r="J61" s="2">
        <f>J68</f>
        <v>604910</v>
      </c>
      <c r="K61" s="2">
        <f>K68</f>
        <v>0</v>
      </c>
      <c r="L61" s="88">
        <f t="shared" si="16"/>
        <v>1080910</v>
      </c>
      <c r="M61" s="325"/>
      <c r="N61" s="216"/>
      <c r="O61" s="140"/>
      <c r="P61" s="132"/>
      <c r="Q61" s="140"/>
    </row>
    <row r="62" spans="1:17" s="139" customFormat="1" ht="11.25" customHeight="1">
      <c r="A62" s="44"/>
      <c r="B62" s="8"/>
      <c r="C62" s="8"/>
      <c r="D62" s="8"/>
      <c r="E62" s="5"/>
      <c r="F62" s="9"/>
      <c r="G62" s="9"/>
      <c r="H62" s="9"/>
      <c r="I62" s="269"/>
      <c r="J62" s="2"/>
      <c r="K62" s="2"/>
      <c r="L62" s="88"/>
      <c r="M62" s="325"/>
      <c r="N62" s="216"/>
      <c r="O62" s="140"/>
      <c r="P62" s="132"/>
      <c r="Q62" s="140"/>
    </row>
    <row r="63" spans="1:17" s="139" customFormat="1" ht="15.75">
      <c r="A63" s="44"/>
      <c r="B63" s="482">
        <v>2502</v>
      </c>
      <c r="C63" s="482"/>
      <c r="D63" s="11"/>
      <c r="E63" s="11" t="s">
        <v>10</v>
      </c>
      <c r="F63" s="9">
        <f>F64+F66</f>
        <v>35293.240000000005</v>
      </c>
      <c r="G63" s="12">
        <f>G64+G65+G66</f>
        <v>0</v>
      </c>
      <c r="H63" s="12">
        <f>H64+H65+H66</f>
        <v>0</v>
      </c>
      <c r="I63" s="259">
        <f>I64+I65+I66</f>
        <v>0</v>
      </c>
      <c r="J63" s="21">
        <f>J64+J65+J66</f>
        <v>0</v>
      </c>
      <c r="K63" s="21">
        <f>K64+K65+K66</f>
        <v>0</v>
      </c>
      <c r="L63" s="68">
        <f>I63+J63+K63</f>
        <v>0</v>
      </c>
      <c r="M63" s="325"/>
      <c r="N63" s="216"/>
      <c r="O63" s="140"/>
      <c r="P63" s="132"/>
      <c r="Q63" s="140"/>
    </row>
    <row r="64" spans="1:17" s="139" customFormat="1" ht="15.75">
      <c r="A64" s="44"/>
      <c r="B64" s="26"/>
      <c r="C64" s="26"/>
      <c r="D64" s="11">
        <v>12</v>
      </c>
      <c r="E64" s="11"/>
      <c r="F64" s="12">
        <v>27362.15</v>
      </c>
      <c r="G64" s="12">
        <v>0</v>
      </c>
      <c r="H64" s="12">
        <v>0</v>
      </c>
      <c r="I64" s="259">
        <v>0</v>
      </c>
      <c r="J64" s="12">
        <v>0</v>
      </c>
      <c r="K64" s="12">
        <v>0</v>
      </c>
      <c r="L64" s="81">
        <f>I64+J64+K64</f>
        <v>0</v>
      </c>
      <c r="M64" s="256">
        <f>27362151.31/1000</f>
        <v>27362.151309999997</v>
      </c>
      <c r="N64" s="216"/>
      <c r="O64" s="140"/>
      <c r="P64" s="132"/>
      <c r="Q64" s="140"/>
    </row>
    <row r="65" spans="1:17" s="139" customFormat="1" ht="15.75" hidden="1">
      <c r="A65" s="44"/>
      <c r="B65" s="11"/>
      <c r="C65" s="11"/>
      <c r="D65" s="11">
        <v>14</v>
      </c>
      <c r="E65" s="11"/>
      <c r="F65" s="12"/>
      <c r="G65" s="12">
        <v>0</v>
      </c>
      <c r="H65" s="12">
        <v>0</v>
      </c>
      <c r="I65" s="259">
        <v>0</v>
      </c>
      <c r="J65" s="21">
        <v>0</v>
      </c>
      <c r="K65" s="12">
        <v>0</v>
      </c>
      <c r="L65" s="81">
        <f>I65+J65+K65</f>
        <v>0</v>
      </c>
      <c r="M65" s="256"/>
      <c r="N65" s="216"/>
      <c r="O65" s="140"/>
      <c r="P65" s="132"/>
      <c r="Q65" s="140"/>
    </row>
    <row r="66" spans="1:17" s="139" customFormat="1" ht="15.75">
      <c r="A66" s="44"/>
      <c r="B66" s="11"/>
      <c r="C66" s="11"/>
      <c r="D66" s="11">
        <v>17</v>
      </c>
      <c r="E66" s="11"/>
      <c r="F66" s="12">
        <v>7931.09</v>
      </c>
      <c r="G66" s="12">
        <v>0</v>
      </c>
      <c r="H66" s="12">
        <v>0</v>
      </c>
      <c r="I66" s="259">
        <v>0</v>
      </c>
      <c r="J66" s="21">
        <v>0</v>
      </c>
      <c r="K66" s="21">
        <v>0</v>
      </c>
      <c r="L66" s="81">
        <f>I66+J66+K66</f>
        <v>0</v>
      </c>
      <c r="M66" s="256">
        <f>7931090.2/1000</f>
        <v>7931.090200000001</v>
      </c>
      <c r="N66" s="216"/>
      <c r="O66" s="140"/>
      <c r="P66" s="132"/>
      <c r="Q66" s="140"/>
    </row>
    <row r="67" spans="1:17" s="139" customFormat="1" ht="9.75" customHeight="1">
      <c r="A67" s="44"/>
      <c r="B67" s="8"/>
      <c r="C67" s="8"/>
      <c r="D67" s="8"/>
      <c r="E67" s="5"/>
      <c r="F67" s="9"/>
      <c r="G67" s="9"/>
      <c r="H67" s="9"/>
      <c r="I67" s="269"/>
      <c r="J67" s="2"/>
      <c r="K67" s="2"/>
      <c r="L67" s="88"/>
      <c r="M67" s="325"/>
      <c r="N67" s="216"/>
      <c r="O67" s="140"/>
      <c r="P67" s="132"/>
      <c r="Q67" s="140"/>
    </row>
    <row r="68" spans="1:17" s="139" customFormat="1" ht="15.75">
      <c r="A68" s="44"/>
      <c r="B68" s="482">
        <v>2506</v>
      </c>
      <c r="C68" s="482"/>
      <c r="D68" s="11"/>
      <c r="E68" s="11" t="s">
        <v>10</v>
      </c>
      <c r="F68" s="12"/>
      <c r="G68" s="9">
        <f>G69+G70+G71</f>
        <v>280000</v>
      </c>
      <c r="H68" s="9">
        <f>H69+H70+H71</f>
        <v>50605.98</v>
      </c>
      <c r="I68" s="269">
        <f>I69+I70+I71</f>
        <v>476000</v>
      </c>
      <c r="J68" s="2">
        <f>J69+J70+J71</f>
        <v>604910</v>
      </c>
      <c r="K68" s="2">
        <f>K69+K70+K71</f>
        <v>0</v>
      </c>
      <c r="L68" s="88">
        <f t="shared" si="16"/>
        <v>1080910</v>
      </c>
      <c r="M68" s="325"/>
      <c r="N68" s="216"/>
      <c r="O68" s="140"/>
      <c r="P68" s="132"/>
      <c r="Q68" s="140"/>
    </row>
    <row r="69" spans="1:17" s="139" customFormat="1" ht="15.75">
      <c r="A69" s="44"/>
      <c r="B69" s="26"/>
      <c r="C69" s="26"/>
      <c r="D69" s="11">
        <v>12</v>
      </c>
      <c r="E69" s="11"/>
      <c r="F69" s="12"/>
      <c r="G69" s="12">
        <v>200000</v>
      </c>
      <c r="H69" s="12">
        <v>42664.55</v>
      </c>
      <c r="I69" s="259">
        <v>398000</v>
      </c>
      <c r="J69" s="12">
        <v>425040</v>
      </c>
      <c r="K69" s="12">
        <v>0</v>
      </c>
      <c r="L69" s="81">
        <f t="shared" si="16"/>
        <v>823040</v>
      </c>
      <c r="M69" s="132">
        <f>40095674.86/1000</f>
        <v>40095.67486</v>
      </c>
      <c r="N69" s="216">
        <f>42664550.34/1000</f>
        <v>42664.55034</v>
      </c>
      <c r="O69" s="140"/>
      <c r="P69" s="132"/>
      <c r="Q69" s="140"/>
    </row>
    <row r="70" spans="1:17" s="139" customFormat="1" ht="15.75" hidden="1">
      <c r="A70" s="44"/>
      <c r="B70" s="11"/>
      <c r="C70" s="11"/>
      <c r="D70" s="11">
        <v>14</v>
      </c>
      <c r="E70" s="11"/>
      <c r="F70" s="12"/>
      <c r="G70" s="12">
        <v>0</v>
      </c>
      <c r="H70" s="12">
        <v>0</v>
      </c>
      <c r="I70" s="259">
        <v>0</v>
      </c>
      <c r="J70" s="21">
        <v>0</v>
      </c>
      <c r="K70" s="12">
        <v>0</v>
      </c>
      <c r="L70" s="81">
        <f t="shared" si="16"/>
        <v>0</v>
      </c>
      <c r="M70" s="132"/>
      <c r="N70" s="216"/>
      <c r="O70" s="140"/>
      <c r="P70" s="132"/>
      <c r="Q70" s="140"/>
    </row>
    <row r="71" spans="1:17" s="139" customFormat="1" ht="15.75">
      <c r="A71" s="45"/>
      <c r="B71" s="14"/>
      <c r="C71" s="14"/>
      <c r="D71" s="14">
        <v>17</v>
      </c>
      <c r="E71" s="14"/>
      <c r="F71" s="15"/>
      <c r="G71" s="15">
        <v>80000</v>
      </c>
      <c r="H71" s="15">
        <v>7941.43</v>
      </c>
      <c r="I71" s="260">
        <v>78000</v>
      </c>
      <c r="J71" s="20">
        <v>179870</v>
      </c>
      <c r="K71" s="20">
        <v>0</v>
      </c>
      <c r="L71" s="81">
        <f t="shared" si="16"/>
        <v>257870</v>
      </c>
      <c r="M71" s="132">
        <f>8982354/1000</f>
        <v>8982.354</v>
      </c>
      <c r="N71" s="216">
        <f>7941427.39/1000</f>
        <v>7941.42739</v>
      </c>
      <c r="O71" s="140"/>
      <c r="P71" s="132"/>
      <c r="Q71" s="140"/>
    </row>
    <row r="72" spans="1:17" s="139" customFormat="1" ht="32.25">
      <c r="A72" s="80">
        <v>11</v>
      </c>
      <c r="B72" s="56"/>
      <c r="C72" s="56"/>
      <c r="D72" s="56"/>
      <c r="E72" s="91" t="s">
        <v>25</v>
      </c>
      <c r="F72" s="85">
        <f>F73</f>
        <v>522.32</v>
      </c>
      <c r="G72" s="85">
        <f aca="true" t="shared" si="17" ref="G72:K74">G73</f>
        <v>20000</v>
      </c>
      <c r="H72" s="85">
        <f t="shared" si="17"/>
        <v>109.78</v>
      </c>
      <c r="I72" s="280">
        <f t="shared" si="17"/>
        <v>10000</v>
      </c>
      <c r="J72" s="111">
        <f t="shared" si="17"/>
        <v>0</v>
      </c>
      <c r="K72" s="111">
        <f t="shared" si="17"/>
        <v>0</v>
      </c>
      <c r="L72" s="86">
        <f t="shared" si="16"/>
        <v>10000</v>
      </c>
      <c r="M72" s="335"/>
      <c r="N72" s="216"/>
      <c r="O72" s="140"/>
      <c r="P72" s="132"/>
      <c r="Q72" s="140"/>
    </row>
    <row r="73" spans="1:17" s="139" customFormat="1" ht="15.75">
      <c r="A73" s="44"/>
      <c r="B73" s="8"/>
      <c r="C73" s="8"/>
      <c r="D73" s="8"/>
      <c r="E73" s="5" t="s">
        <v>9</v>
      </c>
      <c r="F73" s="9">
        <f>F74</f>
        <v>522.32</v>
      </c>
      <c r="G73" s="9">
        <f t="shared" si="17"/>
        <v>20000</v>
      </c>
      <c r="H73" s="9">
        <f t="shared" si="17"/>
        <v>109.78</v>
      </c>
      <c r="I73" s="269">
        <f t="shared" si="17"/>
        <v>10000</v>
      </c>
      <c r="J73" s="2">
        <f t="shared" si="17"/>
        <v>0</v>
      </c>
      <c r="K73" s="2">
        <f t="shared" si="17"/>
        <v>0</v>
      </c>
      <c r="L73" s="88">
        <f t="shared" si="16"/>
        <v>10000</v>
      </c>
      <c r="M73" s="325"/>
      <c r="N73" s="216"/>
      <c r="O73" s="140"/>
      <c r="P73" s="132"/>
      <c r="Q73" s="140"/>
    </row>
    <row r="74" spans="1:17" s="139" customFormat="1" ht="15.75">
      <c r="A74" s="44"/>
      <c r="B74" s="482">
        <v>2504</v>
      </c>
      <c r="C74" s="482"/>
      <c r="D74" s="11"/>
      <c r="E74" s="11" t="s">
        <v>10</v>
      </c>
      <c r="F74" s="12">
        <f>F75</f>
        <v>522.32</v>
      </c>
      <c r="G74" s="12">
        <f t="shared" si="17"/>
        <v>20000</v>
      </c>
      <c r="H74" s="12">
        <f t="shared" si="17"/>
        <v>109.78</v>
      </c>
      <c r="I74" s="259">
        <f t="shared" si="17"/>
        <v>10000</v>
      </c>
      <c r="J74" s="21">
        <f t="shared" si="17"/>
        <v>0</v>
      </c>
      <c r="K74" s="21">
        <f t="shared" si="17"/>
        <v>0</v>
      </c>
      <c r="L74" s="68">
        <f t="shared" si="16"/>
        <v>10000</v>
      </c>
      <c r="M74" s="325"/>
      <c r="N74" s="216"/>
      <c r="O74" s="140"/>
      <c r="P74" s="132"/>
      <c r="Q74" s="140"/>
    </row>
    <row r="75" spans="1:17" s="139" customFormat="1" ht="15.75">
      <c r="A75" s="44"/>
      <c r="B75" s="11"/>
      <c r="C75" s="11"/>
      <c r="D75" s="11">
        <v>12</v>
      </c>
      <c r="E75" s="11"/>
      <c r="F75" s="12">
        <v>522.32</v>
      </c>
      <c r="G75" s="12">
        <v>20000</v>
      </c>
      <c r="H75" s="12">
        <v>109.78</v>
      </c>
      <c r="I75" s="259">
        <v>10000</v>
      </c>
      <c r="J75" s="21">
        <v>0</v>
      </c>
      <c r="K75" s="12">
        <v>0</v>
      </c>
      <c r="L75" s="68">
        <f t="shared" si="16"/>
        <v>10000</v>
      </c>
      <c r="M75" s="325">
        <f>522315.1/1000</f>
        <v>522.3151</v>
      </c>
      <c r="N75" s="216">
        <f>109780/1000</f>
        <v>109.78</v>
      </c>
      <c r="O75" s="140">
        <f>220000000+12900000+105000000+40000000+100000000+1000000+150000000+200000000+100000000</f>
        <v>928900000</v>
      </c>
      <c r="P75" s="132">
        <f>20000000/1000</f>
        <v>20000</v>
      </c>
      <c r="Q75" s="140"/>
    </row>
    <row r="76" spans="1:17" s="139" customFormat="1" ht="69">
      <c r="A76" s="75">
        <v>16</v>
      </c>
      <c r="B76" s="41"/>
      <c r="C76" s="41"/>
      <c r="D76" s="41"/>
      <c r="E76" s="42" t="s">
        <v>59</v>
      </c>
      <c r="F76" s="53">
        <f>F77</f>
        <v>0</v>
      </c>
      <c r="G76" s="53">
        <f aca="true" t="shared" si="18" ref="G76:K77">G77</f>
        <v>580000</v>
      </c>
      <c r="H76" s="53">
        <f t="shared" si="18"/>
        <v>0</v>
      </c>
      <c r="I76" s="277">
        <f t="shared" si="18"/>
        <v>3200000</v>
      </c>
      <c r="J76" s="53">
        <f t="shared" si="18"/>
        <v>3775000</v>
      </c>
      <c r="K76" s="53">
        <f t="shared" si="18"/>
        <v>2625000</v>
      </c>
      <c r="L76" s="76">
        <f t="shared" si="16"/>
        <v>9600000</v>
      </c>
      <c r="M76" s="333"/>
      <c r="N76" s="216"/>
      <c r="O76" s="140"/>
      <c r="P76" s="132"/>
      <c r="Q76" s="140"/>
    </row>
    <row r="77" spans="1:17" s="139" customFormat="1" ht="15.75">
      <c r="A77" s="44"/>
      <c r="B77" s="11"/>
      <c r="C77" s="11"/>
      <c r="D77" s="11"/>
      <c r="E77" s="8" t="s">
        <v>9</v>
      </c>
      <c r="F77" s="9">
        <f>F78</f>
        <v>0</v>
      </c>
      <c r="G77" s="9">
        <f t="shared" si="18"/>
        <v>580000</v>
      </c>
      <c r="H77" s="9">
        <f t="shared" si="18"/>
        <v>0</v>
      </c>
      <c r="I77" s="269">
        <f t="shared" si="18"/>
        <v>3200000</v>
      </c>
      <c r="J77" s="9">
        <f t="shared" si="18"/>
        <v>3775000</v>
      </c>
      <c r="K77" s="9">
        <f t="shared" si="18"/>
        <v>2625000</v>
      </c>
      <c r="L77" s="83">
        <f t="shared" si="16"/>
        <v>9600000</v>
      </c>
      <c r="M77" s="256"/>
      <c r="N77" s="216"/>
      <c r="O77" s="140"/>
      <c r="P77" s="132"/>
      <c r="Q77" s="140"/>
    </row>
    <row r="78" spans="1:17" s="139" customFormat="1" ht="15.75">
      <c r="A78" s="44"/>
      <c r="B78" s="482">
        <v>2504</v>
      </c>
      <c r="C78" s="482"/>
      <c r="D78" s="11"/>
      <c r="E78" s="11" t="s">
        <v>10</v>
      </c>
      <c r="F78" s="12">
        <f aca="true" t="shared" si="19" ref="F78:K78">F79+F80+F81</f>
        <v>0</v>
      </c>
      <c r="G78" s="12">
        <f t="shared" si="19"/>
        <v>580000</v>
      </c>
      <c r="H78" s="12">
        <f t="shared" si="19"/>
        <v>0</v>
      </c>
      <c r="I78" s="259">
        <f t="shared" si="19"/>
        <v>3200000</v>
      </c>
      <c r="J78" s="12">
        <f t="shared" si="19"/>
        <v>3775000</v>
      </c>
      <c r="K78" s="12">
        <f t="shared" si="19"/>
        <v>2625000</v>
      </c>
      <c r="L78" s="81">
        <f t="shared" si="16"/>
        <v>9600000</v>
      </c>
      <c r="M78" s="256"/>
      <c r="N78" s="216"/>
      <c r="O78" s="140"/>
      <c r="P78" s="132"/>
      <c r="Q78" s="140"/>
    </row>
    <row r="79" spans="1:17" s="139" customFormat="1" ht="15.75">
      <c r="A79" s="44"/>
      <c r="B79" s="11"/>
      <c r="C79" s="11"/>
      <c r="D79" s="11">
        <v>12</v>
      </c>
      <c r="E79" s="11"/>
      <c r="F79" s="12">
        <v>0</v>
      </c>
      <c r="G79" s="12">
        <v>500000</v>
      </c>
      <c r="H79" s="12">
        <v>0</v>
      </c>
      <c r="I79" s="259">
        <v>2800000</v>
      </c>
      <c r="J79" s="21">
        <v>3300000</v>
      </c>
      <c r="K79" s="21">
        <v>2400000</v>
      </c>
      <c r="L79" s="81">
        <f t="shared" si="16"/>
        <v>8500000</v>
      </c>
      <c r="M79" s="256"/>
      <c r="N79" s="216"/>
      <c r="O79" s="140"/>
      <c r="P79" s="132"/>
      <c r="Q79" s="140"/>
    </row>
    <row r="80" spans="1:17" s="139" customFormat="1" ht="2.25" customHeight="1">
      <c r="A80" s="44"/>
      <c r="B80" s="11"/>
      <c r="C80" s="11"/>
      <c r="D80" s="11">
        <v>14</v>
      </c>
      <c r="E80" s="11"/>
      <c r="F80" s="12">
        <v>0</v>
      </c>
      <c r="G80" s="12"/>
      <c r="H80" s="12">
        <v>0</v>
      </c>
      <c r="I80" s="259">
        <v>0</v>
      </c>
      <c r="J80" s="12">
        <v>0</v>
      </c>
      <c r="K80" s="12">
        <v>0</v>
      </c>
      <c r="L80" s="81">
        <f t="shared" si="16"/>
        <v>0</v>
      </c>
      <c r="M80" s="256"/>
      <c r="N80" s="216"/>
      <c r="O80" s="140"/>
      <c r="P80" s="132"/>
      <c r="Q80" s="140"/>
    </row>
    <row r="81" spans="1:17" s="139" customFormat="1" ht="15.75">
      <c r="A81" s="45"/>
      <c r="B81" s="14"/>
      <c r="C81" s="14"/>
      <c r="D81" s="14">
        <v>17</v>
      </c>
      <c r="E81" s="14"/>
      <c r="F81" s="15">
        <v>0</v>
      </c>
      <c r="G81" s="15">
        <v>80000</v>
      </c>
      <c r="H81" s="15">
        <v>0</v>
      </c>
      <c r="I81" s="260">
        <v>400000</v>
      </c>
      <c r="J81" s="20">
        <v>475000</v>
      </c>
      <c r="K81" s="20">
        <v>225000</v>
      </c>
      <c r="L81" s="84">
        <f t="shared" si="16"/>
        <v>1100000</v>
      </c>
      <c r="M81" s="256"/>
      <c r="N81" s="216"/>
      <c r="O81" s="140"/>
      <c r="P81" s="132"/>
      <c r="Q81" s="140"/>
    </row>
    <row r="82" spans="1:17" s="139" customFormat="1" ht="81" customHeight="1">
      <c r="A82" s="80">
        <v>17</v>
      </c>
      <c r="B82" s="56"/>
      <c r="C82" s="56"/>
      <c r="D82" s="56"/>
      <c r="E82" s="91" t="s">
        <v>85</v>
      </c>
      <c r="F82" s="85"/>
      <c r="G82" s="85">
        <f aca="true" t="shared" si="20" ref="G82:J83">G83</f>
        <v>1080000</v>
      </c>
      <c r="H82" s="85">
        <f t="shared" si="20"/>
        <v>0</v>
      </c>
      <c r="I82" s="280">
        <f t="shared" si="20"/>
        <v>4736420</v>
      </c>
      <c r="J82" s="111">
        <f>J83</f>
        <v>4606580</v>
      </c>
      <c r="K82" s="111">
        <f>K83</f>
        <v>0</v>
      </c>
      <c r="L82" s="253">
        <f aca="true" t="shared" si="21" ref="L82:L87">I82+J82+K82</f>
        <v>9343000</v>
      </c>
      <c r="M82" s="256"/>
      <c r="N82" s="216"/>
      <c r="O82" s="140"/>
      <c r="P82" s="132"/>
      <c r="Q82" s="140"/>
    </row>
    <row r="83" spans="1:17" s="139" customFormat="1" ht="15.75">
      <c r="A83" s="44"/>
      <c r="B83" s="8"/>
      <c r="C83" s="8"/>
      <c r="D83" s="8"/>
      <c r="E83" s="5" t="s">
        <v>9</v>
      </c>
      <c r="F83" s="9"/>
      <c r="G83" s="9">
        <f t="shared" si="20"/>
        <v>1080000</v>
      </c>
      <c r="H83" s="9">
        <f t="shared" si="20"/>
        <v>0</v>
      </c>
      <c r="I83" s="269">
        <f t="shared" si="20"/>
        <v>4736420</v>
      </c>
      <c r="J83" s="2">
        <f t="shared" si="20"/>
        <v>4606580</v>
      </c>
      <c r="K83" s="2">
        <f>K84</f>
        <v>0</v>
      </c>
      <c r="L83" s="88">
        <f t="shared" si="21"/>
        <v>9343000</v>
      </c>
      <c r="M83" s="256"/>
      <c r="N83" s="216"/>
      <c r="O83" s="140"/>
      <c r="P83" s="132"/>
      <c r="Q83" s="140"/>
    </row>
    <row r="84" spans="1:17" s="139" customFormat="1" ht="15.75">
      <c r="A84" s="44"/>
      <c r="B84" s="482">
        <v>2506</v>
      </c>
      <c r="C84" s="482"/>
      <c r="D84" s="11"/>
      <c r="E84" s="11" t="s">
        <v>10</v>
      </c>
      <c r="F84" s="12"/>
      <c r="G84" s="12">
        <f>G85+G86+G87</f>
        <v>1080000</v>
      </c>
      <c r="H84" s="12">
        <f>H85+H86+H87</f>
        <v>0</v>
      </c>
      <c r="I84" s="259">
        <f>I85+I86+I87</f>
        <v>4736420</v>
      </c>
      <c r="J84" s="21">
        <f>J85+J86+J87</f>
        <v>4606580</v>
      </c>
      <c r="K84" s="21">
        <f>K85+K86+K87</f>
        <v>0</v>
      </c>
      <c r="L84" s="68">
        <f>I84+J84+K84</f>
        <v>9343000</v>
      </c>
      <c r="M84" s="256"/>
      <c r="N84" s="216"/>
      <c r="O84" s="140"/>
      <c r="P84" s="132"/>
      <c r="Q84" s="140"/>
    </row>
    <row r="85" spans="1:17" s="139" customFormat="1" ht="15.75">
      <c r="A85" s="44"/>
      <c r="B85" s="26"/>
      <c r="C85" s="26"/>
      <c r="D85" s="11">
        <v>12</v>
      </c>
      <c r="E85" s="11"/>
      <c r="F85" s="12"/>
      <c r="G85" s="12">
        <v>1000000</v>
      </c>
      <c r="H85" s="12">
        <v>0</v>
      </c>
      <c r="I85" s="259">
        <v>4092530</v>
      </c>
      <c r="J85" s="12">
        <v>3657470</v>
      </c>
      <c r="K85" s="12">
        <v>0</v>
      </c>
      <c r="L85" s="68">
        <f t="shared" si="21"/>
        <v>7750000</v>
      </c>
      <c r="M85" s="256"/>
      <c r="N85" s="216"/>
      <c r="O85" s="140"/>
      <c r="P85" s="132"/>
      <c r="Q85" s="140"/>
    </row>
    <row r="86" spans="1:17" s="139" customFormat="1" ht="15.75">
      <c r="A86" s="44"/>
      <c r="B86" s="11"/>
      <c r="C86" s="11"/>
      <c r="D86" s="11">
        <v>14</v>
      </c>
      <c r="E86" s="11"/>
      <c r="F86" s="12"/>
      <c r="G86" s="12">
        <v>0</v>
      </c>
      <c r="H86" s="12">
        <v>0</v>
      </c>
      <c r="I86" s="259">
        <v>0</v>
      </c>
      <c r="J86" s="21">
        <v>0</v>
      </c>
      <c r="K86" s="12">
        <v>0</v>
      </c>
      <c r="L86" s="68">
        <f t="shared" si="21"/>
        <v>0</v>
      </c>
      <c r="M86" s="256"/>
      <c r="N86" s="216"/>
      <c r="O86" s="140"/>
      <c r="P86" s="132"/>
      <c r="Q86" s="140"/>
    </row>
    <row r="87" spans="1:17" s="139" customFormat="1" ht="15.75">
      <c r="A87" s="45"/>
      <c r="B87" s="14"/>
      <c r="C87" s="14"/>
      <c r="D87" s="14">
        <v>17</v>
      </c>
      <c r="E87" s="14"/>
      <c r="F87" s="15"/>
      <c r="G87" s="15">
        <v>80000</v>
      </c>
      <c r="H87" s="15">
        <v>0</v>
      </c>
      <c r="I87" s="260">
        <v>643890</v>
      </c>
      <c r="J87" s="20">
        <v>949110</v>
      </c>
      <c r="K87" s="20">
        <v>0</v>
      </c>
      <c r="L87" s="87">
        <f t="shared" si="21"/>
        <v>1593000</v>
      </c>
      <c r="M87" s="256"/>
      <c r="N87" s="216"/>
      <c r="O87" s="140"/>
      <c r="P87" s="132"/>
      <c r="Q87" s="140"/>
    </row>
    <row r="88" spans="1:17" s="139" customFormat="1" ht="79.5">
      <c r="A88" s="80">
        <v>18</v>
      </c>
      <c r="B88" s="56"/>
      <c r="C88" s="56"/>
      <c r="D88" s="56"/>
      <c r="E88" s="91" t="s">
        <v>83</v>
      </c>
      <c r="F88" s="85"/>
      <c r="G88" s="85">
        <f aca="true" t="shared" si="22" ref="G88:J89">G89</f>
        <v>2100000</v>
      </c>
      <c r="H88" s="85">
        <f t="shared" si="22"/>
        <v>0</v>
      </c>
      <c r="I88" s="280">
        <f t="shared" si="22"/>
        <v>3696000</v>
      </c>
      <c r="J88" s="111">
        <f>J89</f>
        <v>7281000</v>
      </c>
      <c r="K88" s="111">
        <f>K89</f>
        <v>3453000</v>
      </c>
      <c r="L88" s="253">
        <f t="shared" si="16"/>
        <v>14430000</v>
      </c>
      <c r="M88" s="334"/>
      <c r="N88" s="216"/>
      <c r="O88" s="140"/>
      <c r="P88" s="132"/>
      <c r="Q88" s="140"/>
    </row>
    <row r="89" spans="1:17" s="139" customFormat="1" ht="15.75">
      <c r="A89" s="44"/>
      <c r="B89" s="8"/>
      <c r="C89" s="8"/>
      <c r="D89" s="8"/>
      <c r="E89" s="5" t="s">
        <v>9</v>
      </c>
      <c r="F89" s="9"/>
      <c r="G89" s="9">
        <f t="shared" si="22"/>
        <v>2100000</v>
      </c>
      <c r="H89" s="9">
        <f t="shared" si="22"/>
        <v>0</v>
      </c>
      <c r="I89" s="269">
        <f t="shared" si="22"/>
        <v>3696000</v>
      </c>
      <c r="J89" s="2">
        <f t="shared" si="22"/>
        <v>7281000</v>
      </c>
      <c r="K89" s="2">
        <f>K90</f>
        <v>3453000</v>
      </c>
      <c r="L89" s="88">
        <f t="shared" si="16"/>
        <v>14430000</v>
      </c>
      <c r="M89" s="325"/>
      <c r="N89" s="216"/>
      <c r="O89" s="140"/>
      <c r="P89" s="132"/>
      <c r="Q89" s="140"/>
    </row>
    <row r="90" spans="1:17" s="139" customFormat="1" ht="15.75">
      <c r="A90" s="44"/>
      <c r="B90" s="482">
        <v>2506</v>
      </c>
      <c r="C90" s="482"/>
      <c r="D90" s="11"/>
      <c r="E90" s="11" t="s">
        <v>10</v>
      </c>
      <c r="F90" s="12"/>
      <c r="G90" s="12">
        <f>G91+G92+G93</f>
        <v>2100000</v>
      </c>
      <c r="H90" s="12">
        <f>H91+H92+H93</f>
        <v>0</v>
      </c>
      <c r="I90" s="259">
        <f>I91+I92+I93</f>
        <v>3696000</v>
      </c>
      <c r="J90" s="21">
        <f>J91+J92+J93</f>
        <v>7281000</v>
      </c>
      <c r="K90" s="21">
        <f>K91+K92+K93</f>
        <v>3453000</v>
      </c>
      <c r="L90" s="68">
        <f t="shared" si="16"/>
        <v>14430000</v>
      </c>
      <c r="M90" s="325"/>
      <c r="N90" s="216"/>
      <c r="O90" s="140"/>
      <c r="P90" s="132"/>
      <c r="Q90" s="140"/>
    </row>
    <row r="91" spans="1:17" s="139" customFormat="1" ht="15.75">
      <c r="A91" s="44"/>
      <c r="B91" s="26"/>
      <c r="C91" s="26"/>
      <c r="D91" s="11">
        <v>12</v>
      </c>
      <c r="E91" s="11"/>
      <c r="F91" s="12"/>
      <c r="G91" s="12">
        <v>1800000</v>
      </c>
      <c r="H91" s="12">
        <v>0</v>
      </c>
      <c r="I91" s="259">
        <v>3104000</v>
      </c>
      <c r="J91" s="12">
        <v>6180000</v>
      </c>
      <c r="K91" s="12">
        <v>2492000</v>
      </c>
      <c r="L91" s="68">
        <f t="shared" si="16"/>
        <v>11776000</v>
      </c>
      <c r="M91" s="325"/>
      <c r="N91" s="216"/>
      <c r="O91" s="140"/>
      <c r="P91" s="132"/>
      <c r="Q91" s="140"/>
    </row>
    <row r="92" spans="1:17" s="139" customFormat="1" ht="15.75" hidden="1">
      <c r="A92" s="44"/>
      <c r="B92" s="11"/>
      <c r="C92" s="11"/>
      <c r="D92" s="11">
        <v>14</v>
      </c>
      <c r="E92" s="11"/>
      <c r="F92" s="12"/>
      <c r="G92" s="12">
        <v>0</v>
      </c>
      <c r="H92" s="12">
        <v>0</v>
      </c>
      <c r="I92" s="259">
        <v>0</v>
      </c>
      <c r="J92" s="21">
        <v>0</v>
      </c>
      <c r="K92" s="12">
        <v>0</v>
      </c>
      <c r="L92" s="68">
        <f t="shared" si="16"/>
        <v>0</v>
      </c>
      <c r="M92" s="325"/>
      <c r="N92" s="216"/>
      <c r="O92" s="140"/>
      <c r="P92" s="132"/>
      <c r="Q92" s="140"/>
    </row>
    <row r="93" spans="1:17" s="139" customFormat="1" ht="15.75">
      <c r="A93" s="45"/>
      <c r="B93" s="14"/>
      <c r="C93" s="14"/>
      <c r="D93" s="14">
        <v>17</v>
      </c>
      <c r="E93" s="14"/>
      <c r="F93" s="15"/>
      <c r="G93" s="15">
        <v>300000</v>
      </c>
      <c r="H93" s="15">
        <v>0</v>
      </c>
      <c r="I93" s="260">
        <v>592000</v>
      </c>
      <c r="J93" s="20">
        <v>1101000</v>
      </c>
      <c r="K93" s="20">
        <v>961000</v>
      </c>
      <c r="L93" s="87">
        <f t="shared" si="16"/>
        <v>2654000</v>
      </c>
      <c r="M93" s="325"/>
      <c r="N93" s="216"/>
      <c r="O93" s="140"/>
      <c r="P93" s="132"/>
      <c r="Q93" s="140"/>
    </row>
    <row r="94" spans="1:17" s="139" customFormat="1" ht="26.25" customHeight="1" hidden="1">
      <c r="A94" s="75"/>
      <c r="B94" s="41"/>
      <c r="C94" s="41"/>
      <c r="D94" s="41"/>
      <c r="E94" s="42" t="s">
        <v>60</v>
      </c>
      <c r="F94" s="53">
        <f aca="true" t="shared" si="23" ref="F94:K95">F95</f>
        <v>0</v>
      </c>
      <c r="G94" s="53">
        <f t="shared" si="23"/>
        <v>0</v>
      </c>
      <c r="H94" s="53">
        <f t="shared" si="23"/>
        <v>0</v>
      </c>
      <c r="I94" s="277">
        <f t="shared" si="23"/>
        <v>0</v>
      </c>
      <c r="J94" s="53">
        <f t="shared" si="23"/>
        <v>0</v>
      </c>
      <c r="K94" s="53">
        <f t="shared" si="23"/>
        <v>0</v>
      </c>
      <c r="L94" s="76">
        <f t="shared" si="16"/>
        <v>0</v>
      </c>
      <c r="M94" s="333"/>
      <c r="N94" s="216"/>
      <c r="O94" s="140"/>
      <c r="P94" s="132"/>
      <c r="Q94" s="140"/>
    </row>
    <row r="95" spans="1:17" s="139" customFormat="1" ht="15.75" hidden="1">
      <c r="A95" s="44"/>
      <c r="B95" s="11"/>
      <c r="C95" s="11"/>
      <c r="D95" s="11"/>
      <c r="E95" s="8" t="s">
        <v>9</v>
      </c>
      <c r="F95" s="9">
        <f t="shared" si="23"/>
        <v>0</v>
      </c>
      <c r="G95" s="9">
        <f t="shared" si="23"/>
        <v>0</v>
      </c>
      <c r="H95" s="9">
        <f t="shared" si="23"/>
        <v>0</v>
      </c>
      <c r="I95" s="269">
        <f t="shared" si="23"/>
        <v>0</v>
      </c>
      <c r="J95" s="9">
        <f t="shared" si="23"/>
        <v>0</v>
      </c>
      <c r="K95" s="9">
        <f t="shared" si="23"/>
        <v>0</v>
      </c>
      <c r="L95" s="83">
        <f t="shared" si="16"/>
        <v>0</v>
      </c>
      <c r="M95" s="256"/>
      <c r="N95" s="216"/>
      <c r="O95" s="140"/>
      <c r="P95" s="132"/>
      <c r="Q95" s="140"/>
    </row>
    <row r="96" spans="1:17" s="139" customFormat="1" ht="15.75" hidden="1">
      <c r="A96" s="44"/>
      <c r="B96" s="482">
        <v>2502</v>
      </c>
      <c r="C96" s="482"/>
      <c r="D96" s="11"/>
      <c r="E96" s="11" t="s">
        <v>10</v>
      </c>
      <c r="F96" s="12">
        <f aca="true" t="shared" si="24" ref="F96:K96">F97+F98</f>
        <v>0</v>
      </c>
      <c r="G96" s="12">
        <f t="shared" si="24"/>
        <v>0</v>
      </c>
      <c r="H96" s="12">
        <f t="shared" si="24"/>
        <v>0</v>
      </c>
      <c r="I96" s="259">
        <f t="shared" si="24"/>
        <v>0</v>
      </c>
      <c r="J96" s="12">
        <f t="shared" si="24"/>
        <v>0</v>
      </c>
      <c r="K96" s="12">
        <f t="shared" si="24"/>
        <v>0</v>
      </c>
      <c r="L96" s="81">
        <f t="shared" si="16"/>
        <v>0</v>
      </c>
      <c r="M96" s="256"/>
      <c r="N96" s="216"/>
      <c r="O96" s="140"/>
      <c r="P96" s="132"/>
      <c r="Q96" s="140"/>
    </row>
    <row r="97" spans="1:17" s="139" customFormat="1" ht="15.75" hidden="1">
      <c r="A97" s="44"/>
      <c r="B97" s="11"/>
      <c r="C97" s="11"/>
      <c r="D97" s="11">
        <v>12</v>
      </c>
      <c r="E97" s="11"/>
      <c r="F97" s="12"/>
      <c r="G97" s="12"/>
      <c r="H97" s="37"/>
      <c r="I97" s="259"/>
      <c r="J97" s="21">
        <v>0</v>
      </c>
      <c r="K97" s="21">
        <v>0</v>
      </c>
      <c r="L97" s="74">
        <f t="shared" si="16"/>
        <v>0</v>
      </c>
      <c r="M97" s="321"/>
      <c r="N97" s="216"/>
      <c r="O97" s="140"/>
      <c r="P97" s="132"/>
      <c r="Q97" s="140"/>
    </row>
    <row r="98" spans="1:17" s="139" customFormat="1" ht="15.75" hidden="1">
      <c r="A98" s="45"/>
      <c r="B98" s="14"/>
      <c r="C98" s="14"/>
      <c r="D98" s="14">
        <v>17</v>
      </c>
      <c r="E98" s="14"/>
      <c r="F98" s="15"/>
      <c r="G98" s="15"/>
      <c r="H98" s="15"/>
      <c r="I98" s="260"/>
      <c r="J98" s="20">
        <v>0</v>
      </c>
      <c r="K98" s="20">
        <v>0</v>
      </c>
      <c r="L98" s="73">
        <f t="shared" si="16"/>
        <v>0</v>
      </c>
      <c r="M98" s="321"/>
      <c r="N98" s="216"/>
      <c r="O98" s="140"/>
      <c r="P98" s="132"/>
      <c r="Q98" s="140"/>
    </row>
    <row r="99" spans="1:17" s="139" customFormat="1" ht="51.75" hidden="1">
      <c r="A99" s="80"/>
      <c r="B99" s="56"/>
      <c r="C99" s="56"/>
      <c r="D99" s="56"/>
      <c r="E99" s="42" t="s">
        <v>61</v>
      </c>
      <c r="F99" s="53">
        <f aca="true" t="shared" si="25" ref="F99:I100">F100</f>
        <v>0</v>
      </c>
      <c r="G99" s="53">
        <f t="shared" si="25"/>
        <v>0</v>
      </c>
      <c r="H99" s="53">
        <f t="shared" si="25"/>
        <v>0</v>
      </c>
      <c r="I99" s="277">
        <f t="shared" si="25"/>
        <v>0</v>
      </c>
      <c r="J99" s="77">
        <f>J100</f>
        <v>0</v>
      </c>
      <c r="K99" s="77">
        <f>K100</f>
        <v>0</v>
      </c>
      <c r="L99" s="79">
        <f t="shared" si="16"/>
        <v>0</v>
      </c>
      <c r="M99" s="336"/>
      <c r="N99" s="216"/>
      <c r="O99" s="140"/>
      <c r="P99" s="132"/>
      <c r="Q99" s="140"/>
    </row>
    <row r="100" spans="1:17" s="139" customFormat="1" ht="15.75" hidden="1">
      <c r="A100" s="82"/>
      <c r="B100" s="8"/>
      <c r="C100" s="8"/>
      <c r="D100" s="8"/>
      <c r="E100" s="5" t="s">
        <v>9</v>
      </c>
      <c r="F100" s="9">
        <f t="shared" si="25"/>
        <v>0</v>
      </c>
      <c r="G100" s="9">
        <f t="shared" si="25"/>
        <v>0</v>
      </c>
      <c r="H100" s="9">
        <f t="shared" si="25"/>
        <v>0</v>
      </c>
      <c r="I100" s="269">
        <f t="shared" si="25"/>
        <v>0</v>
      </c>
      <c r="J100" s="2">
        <f>J101</f>
        <v>0</v>
      </c>
      <c r="K100" s="2">
        <f>K101</f>
        <v>0</v>
      </c>
      <c r="L100" s="88">
        <f t="shared" si="16"/>
        <v>0</v>
      </c>
      <c r="M100" s="325"/>
      <c r="N100" s="216"/>
      <c r="O100" s="140"/>
      <c r="P100" s="132"/>
      <c r="Q100" s="140"/>
    </row>
    <row r="101" spans="1:17" s="139" customFormat="1" ht="15.75" hidden="1">
      <c r="A101" s="44"/>
      <c r="B101" s="482">
        <v>2502</v>
      </c>
      <c r="C101" s="482"/>
      <c r="D101" s="11"/>
      <c r="E101" s="11" t="s">
        <v>10</v>
      </c>
      <c r="F101" s="12">
        <f aca="true" t="shared" si="26" ref="F101:K101">F102+F103+F104</f>
        <v>0</v>
      </c>
      <c r="G101" s="12">
        <f t="shared" si="26"/>
        <v>0</v>
      </c>
      <c r="H101" s="12">
        <f t="shared" si="26"/>
        <v>0</v>
      </c>
      <c r="I101" s="259">
        <f t="shared" si="26"/>
        <v>0</v>
      </c>
      <c r="J101" s="12">
        <f t="shared" si="26"/>
        <v>0</v>
      </c>
      <c r="K101" s="12">
        <f t="shared" si="26"/>
        <v>0</v>
      </c>
      <c r="L101" s="81">
        <f t="shared" si="16"/>
        <v>0</v>
      </c>
      <c r="M101" s="256"/>
      <c r="N101" s="216"/>
      <c r="O101" s="140"/>
      <c r="P101" s="132"/>
      <c r="Q101" s="140"/>
    </row>
    <row r="102" spans="1:17" s="139" customFormat="1" ht="15.75" hidden="1">
      <c r="A102" s="44"/>
      <c r="B102" s="26"/>
      <c r="C102" s="26"/>
      <c r="D102" s="11">
        <v>12</v>
      </c>
      <c r="E102" s="11"/>
      <c r="F102" s="12"/>
      <c r="G102" s="12"/>
      <c r="H102" s="12"/>
      <c r="I102" s="259"/>
      <c r="J102" s="12">
        <v>0</v>
      </c>
      <c r="K102" s="12">
        <v>0</v>
      </c>
      <c r="L102" s="81">
        <f t="shared" si="16"/>
        <v>0</v>
      </c>
      <c r="M102" s="256"/>
      <c r="N102" s="216"/>
      <c r="O102" s="140"/>
      <c r="P102" s="132"/>
      <c r="Q102" s="140"/>
    </row>
    <row r="103" spans="1:17" s="139" customFormat="1" ht="15.75" hidden="1">
      <c r="A103" s="44"/>
      <c r="B103" s="11"/>
      <c r="C103" s="11"/>
      <c r="D103" s="11">
        <v>13</v>
      </c>
      <c r="E103" s="11"/>
      <c r="F103" s="12"/>
      <c r="G103" s="12"/>
      <c r="H103" s="37"/>
      <c r="I103" s="259"/>
      <c r="J103" s="21">
        <v>0</v>
      </c>
      <c r="K103" s="21">
        <v>0</v>
      </c>
      <c r="L103" s="81">
        <f t="shared" si="16"/>
        <v>0</v>
      </c>
      <c r="M103" s="256"/>
      <c r="N103" s="216"/>
      <c r="O103" s="140"/>
      <c r="P103" s="132"/>
      <c r="Q103" s="140"/>
    </row>
    <row r="104" spans="1:17" s="139" customFormat="1" ht="15.75" hidden="1">
      <c r="A104" s="45"/>
      <c r="B104" s="14"/>
      <c r="C104" s="14"/>
      <c r="D104" s="14">
        <v>17</v>
      </c>
      <c r="E104" s="14"/>
      <c r="F104" s="15"/>
      <c r="G104" s="15"/>
      <c r="H104" s="20"/>
      <c r="I104" s="260"/>
      <c r="J104" s="20">
        <v>0</v>
      </c>
      <c r="K104" s="20">
        <v>0</v>
      </c>
      <c r="L104" s="81">
        <f t="shared" si="16"/>
        <v>0</v>
      </c>
      <c r="M104" s="256"/>
      <c r="N104" s="216"/>
      <c r="O104" s="140"/>
      <c r="P104" s="132"/>
      <c r="Q104" s="140"/>
    </row>
    <row r="105" spans="1:17" s="139" customFormat="1" ht="32.25" hidden="1">
      <c r="A105" s="80"/>
      <c r="B105" s="56"/>
      <c r="C105" s="56"/>
      <c r="D105" s="56"/>
      <c r="E105" s="91" t="s">
        <v>62</v>
      </c>
      <c r="F105" s="85">
        <f aca="true" t="shared" si="27" ref="F105:K106">F106</f>
        <v>0</v>
      </c>
      <c r="G105" s="85">
        <f t="shared" si="27"/>
        <v>0</v>
      </c>
      <c r="H105" s="110">
        <f t="shared" si="27"/>
        <v>0</v>
      </c>
      <c r="I105" s="280">
        <f t="shared" si="27"/>
        <v>0</v>
      </c>
      <c r="J105" s="111">
        <f t="shared" si="27"/>
        <v>0</v>
      </c>
      <c r="K105" s="111">
        <f t="shared" si="27"/>
        <v>0</v>
      </c>
      <c r="L105" s="86">
        <f t="shared" si="16"/>
        <v>0</v>
      </c>
      <c r="M105" s="335"/>
      <c r="N105" s="216"/>
      <c r="O105" s="140"/>
      <c r="P105" s="132"/>
      <c r="Q105" s="140"/>
    </row>
    <row r="106" spans="1:17" s="139" customFormat="1" ht="15.75" hidden="1">
      <c r="A106" s="44"/>
      <c r="B106" s="8"/>
      <c r="C106" s="8"/>
      <c r="D106" s="8"/>
      <c r="E106" s="5" t="s">
        <v>9</v>
      </c>
      <c r="F106" s="9">
        <f t="shared" si="27"/>
        <v>0</v>
      </c>
      <c r="G106" s="9">
        <f t="shared" si="27"/>
        <v>0</v>
      </c>
      <c r="H106" s="40">
        <f t="shared" si="27"/>
        <v>0</v>
      </c>
      <c r="I106" s="269">
        <f t="shared" si="27"/>
        <v>0</v>
      </c>
      <c r="J106" s="2">
        <f t="shared" si="27"/>
        <v>0</v>
      </c>
      <c r="K106" s="2">
        <f t="shared" si="27"/>
        <v>0</v>
      </c>
      <c r="L106" s="88">
        <f t="shared" si="16"/>
        <v>0</v>
      </c>
      <c r="M106" s="325"/>
      <c r="N106" s="216"/>
      <c r="O106" s="140"/>
      <c r="P106" s="132"/>
      <c r="Q106" s="140"/>
    </row>
    <row r="107" spans="1:17" s="139" customFormat="1" ht="15.75" hidden="1">
      <c r="A107" s="44"/>
      <c r="B107" s="482">
        <v>2502</v>
      </c>
      <c r="C107" s="482"/>
      <c r="D107" s="11"/>
      <c r="E107" s="11" t="s">
        <v>10</v>
      </c>
      <c r="F107" s="12">
        <f aca="true" t="shared" si="28" ref="F107:K107">F108+F109</f>
        <v>0</v>
      </c>
      <c r="G107" s="12">
        <f t="shared" si="28"/>
        <v>0</v>
      </c>
      <c r="H107" s="12">
        <f t="shared" si="28"/>
        <v>0</v>
      </c>
      <c r="I107" s="259">
        <f t="shared" si="28"/>
        <v>0</v>
      </c>
      <c r="J107" s="12">
        <f t="shared" si="28"/>
        <v>0</v>
      </c>
      <c r="K107" s="12">
        <f t="shared" si="28"/>
        <v>0</v>
      </c>
      <c r="L107" s="68">
        <f>I107+J107+K107</f>
        <v>0</v>
      </c>
      <c r="M107" s="325"/>
      <c r="N107" s="216"/>
      <c r="O107" s="140"/>
      <c r="P107" s="132"/>
      <c r="Q107" s="140"/>
    </row>
    <row r="108" spans="1:17" s="139" customFormat="1" ht="15.75" hidden="1">
      <c r="A108" s="44"/>
      <c r="B108" s="11"/>
      <c r="C108" s="11"/>
      <c r="D108" s="11">
        <v>12</v>
      </c>
      <c r="E108" s="11"/>
      <c r="F108" s="12"/>
      <c r="G108" s="12"/>
      <c r="H108" s="21"/>
      <c r="I108" s="259"/>
      <c r="J108" s="21"/>
      <c r="K108" s="21"/>
      <c r="L108" s="68">
        <f>I108+J108+K108</f>
        <v>0</v>
      </c>
      <c r="M108" s="325"/>
      <c r="N108" s="216"/>
      <c r="O108" s="140"/>
      <c r="P108" s="132"/>
      <c r="Q108" s="140"/>
    </row>
    <row r="109" spans="1:17" s="139" customFormat="1" ht="15.75" hidden="1">
      <c r="A109" s="45"/>
      <c r="B109" s="14"/>
      <c r="C109" s="14"/>
      <c r="D109" s="14">
        <v>17</v>
      </c>
      <c r="E109" s="14"/>
      <c r="F109" s="15"/>
      <c r="G109" s="15"/>
      <c r="H109" s="20"/>
      <c r="I109" s="260"/>
      <c r="J109" s="20"/>
      <c r="K109" s="20"/>
      <c r="L109" s="68">
        <f t="shared" si="16"/>
        <v>0</v>
      </c>
      <c r="M109" s="325"/>
      <c r="N109" s="216"/>
      <c r="O109" s="140"/>
      <c r="P109" s="132"/>
      <c r="Q109" s="140"/>
    </row>
    <row r="110" spans="1:17" s="139" customFormat="1" ht="32.25" hidden="1">
      <c r="A110" s="80"/>
      <c r="B110" s="56"/>
      <c r="C110" s="56"/>
      <c r="D110" s="56"/>
      <c r="E110" s="91" t="s">
        <v>63</v>
      </c>
      <c r="F110" s="85">
        <f aca="true" t="shared" si="29" ref="F110:K111">F111</f>
        <v>0</v>
      </c>
      <c r="G110" s="85">
        <f t="shared" si="29"/>
        <v>0</v>
      </c>
      <c r="H110" s="85">
        <f t="shared" si="29"/>
        <v>0</v>
      </c>
      <c r="I110" s="280">
        <f t="shared" si="29"/>
        <v>0</v>
      </c>
      <c r="J110" s="85">
        <f t="shared" si="29"/>
        <v>0</v>
      </c>
      <c r="K110" s="85">
        <f t="shared" si="29"/>
        <v>0</v>
      </c>
      <c r="L110" s="113">
        <f t="shared" si="16"/>
        <v>0</v>
      </c>
      <c r="M110" s="337"/>
      <c r="N110" s="216"/>
      <c r="O110" s="140"/>
      <c r="P110" s="132"/>
      <c r="Q110" s="140"/>
    </row>
    <row r="111" spans="1:17" s="139" customFormat="1" ht="15.75" hidden="1">
      <c r="A111" s="44"/>
      <c r="B111" s="8"/>
      <c r="C111" s="8"/>
      <c r="D111" s="8"/>
      <c r="E111" s="5" t="s">
        <v>9</v>
      </c>
      <c r="F111" s="9">
        <f t="shared" si="29"/>
        <v>0</v>
      </c>
      <c r="G111" s="9">
        <f t="shared" si="29"/>
        <v>0</v>
      </c>
      <c r="H111" s="9">
        <f t="shared" si="29"/>
        <v>0</v>
      </c>
      <c r="I111" s="269">
        <f t="shared" si="29"/>
        <v>0</v>
      </c>
      <c r="J111" s="9">
        <f t="shared" si="29"/>
        <v>0</v>
      </c>
      <c r="K111" s="9">
        <f t="shared" si="29"/>
        <v>0</v>
      </c>
      <c r="L111" s="83">
        <f t="shared" si="16"/>
        <v>0</v>
      </c>
      <c r="M111" s="256"/>
      <c r="N111" s="216"/>
      <c r="O111" s="140"/>
      <c r="P111" s="132"/>
      <c r="Q111" s="140"/>
    </row>
    <row r="112" spans="1:17" s="139" customFormat="1" ht="15.75" hidden="1">
      <c r="A112" s="44"/>
      <c r="B112" s="482">
        <v>2502</v>
      </c>
      <c r="C112" s="482"/>
      <c r="D112" s="11"/>
      <c r="E112" s="11" t="s">
        <v>10</v>
      </c>
      <c r="F112" s="12">
        <f aca="true" t="shared" si="30" ref="F112:K112">F113+F114</f>
        <v>0</v>
      </c>
      <c r="G112" s="12">
        <f t="shared" si="30"/>
        <v>0</v>
      </c>
      <c r="H112" s="12">
        <f t="shared" si="30"/>
        <v>0</v>
      </c>
      <c r="I112" s="259">
        <f t="shared" si="30"/>
        <v>0</v>
      </c>
      <c r="J112" s="12">
        <f t="shared" si="30"/>
        <v>0</v>
      </c>
      <c r="K112" s="12">
        <f t="shared" si="30"/>
        <v>0</v>
      </c>
      <c r="L112" s="81">
        <f t="shared" si="16"/>
        <v>0</v>
      </c>
      <c r="M112" s="256"/>
      <c r="N112" s="216"/>
      <c r="O112" s="140"/>
      <c r="P112" s="132"/>
      <c r="Q112" s="140"/>
    </row>
    <row r="113" spans="1:17" s="139" customFormat="1" ht="15.75" hidden="1">
      <c r="A113" s="44"/>
      <c r="B113" s="11"/>
      <c r="C113" s="11"/>
      <c r="D113" s="11">
        <v>12</v>
      </c>
      <c r="E113" s="11"/>
      <c r="F113" s="12"/>
      <c r="G113" s="12"/>
      <c r="H113" s="21"/>
      <c r="I113" s="259"/>
      <c r="J113" s="21"/>
      <c r="K113" s="21"/>
      <c r="L113" s="81">
        <f t="shared" si="16"/>
        <v>0</v>
      </c>
      <c r="M113" s="256"/>
      <c r="N113" s="216"/>
      <c r="O113" s="140"/>
      <c r="P113" s="132"/>
      <c r="Q113" s="140"/>
    </row>
    <row r="114" spans="1:17" s="139" customFormat="1" ht="15.75" hidden="1">
      <c r="A114" s="45"/>
      <c r="B114" s="14"/>
      <c r="C114" s="14"/>
      <c r="D114" s="14">
        <v>17</v>
      </c>
      <c r="E114" s="14"/>
      <c r="F114" s="15"/>
      <c r="G114" s="15"/>
      <c r="H114" s="38"/>
      <c r="I114" s="260"/>
      <c r="J114" s="20">
        <v>0</v>
      </c>
      <c r="K114" s="20"/>
      <c r="L114" s="84">
        <f t="shared" si="16"/>
        <v>0</v>
      </c>
      <c r="M114" s="256"/>
      <c r="N114" s="216"/>
      <c r="O114" s="140"/>
      <c r="P114" s="132"/>
      <c r="Q114" s="140"/>
    </row>
    <row r="115" spans="1:17" s="144" customFormat="1" ht="48">
      <c r="A115" s="80"/>
      <c r="B115" s="56"/>
      <c r="C115" s="56"/>
      <c r="D115" s="56"/>
      <c r="E115" s="91" t="s">
        <v>86</v>
      </c>
      <c r="F115" s="85">
        <f aca="true" t="shared" si="31" ref="F115:K116">F116</f>
        <v>0</v>
      </c>
      <c r="G115" s="85">
        <f t="shared" si="31"/>
        <v>1660000</v>
      </c>
      <c r="H115" s="85">
        <f t="shared" si="31"/>
        <v>0</v>
      </c>
      <c r="I115" s="280">
        <f t="shared" si="31"/>
        <v>2420000</v>
      </c>
      <c r="J115" s="85">
        <f t="shared" si="31"/>
        <v>0</v>
      </c>
      <c r="K115" s="85">
        <f t="shared" si="31"/>
        <v>0</v>
      </c>
      <c r="L115" s="113">
        <f aca="true" t="shared" si="32" ref="L115:L124">I115+J115+K115</f>
        <v>2420000</v>
      </c>
      <c r="M115" s="337"/>
      <c r="N115" s="325"/>
      <c r="O115" s="255"/>
      <c r="P115" s="256"/>
      <c r="Q115" s="255"/>
    </row>
    <row r="116" spans="1:17" s="144" customFormat="1" ht="15.75">
      <c r="A116" s="82">
        <v>19</v>
      </c>
      <c r="B116" s="8"/>
      <c r="C116" s="8"/>
      <c r="D116" s="8"/>
      <c r="E116" s="5" t="s">
        <v>9</v>
      </c>
      <c r="F116" s="9">
        <f t="shared" si="31"/>
        <v>0</v>
      </c>
      <c r="G116" s="9">
        <f t="shared" si="31"/>
        <v>1660000</v>
      </c>
      <c r="H116" s="9">
        <f t="shared" si="31"/>
        <v>0</v>
      </c>
      <c r="I116" s="269">
        <f t="shared" si="31"/>
        <v>2420000</v>
      </c>
      <c r="J116" s="9">
        <f t="shared" si="31"/>
        <v>0</v>
      </c>
      <c r="K116" s="9">
        <f t="shared" si="31"/>
        <v>0</v>
      </c>
      <c r="L116" s="83">
        <f t="shared" si="32"/>
        <v>2420000</v>
      </c>
      <c r="M116" s="256"/>
      <c r="N116" s="325"/>
      <c r="O116" s="255"/>
      <c r="P116" s="256"/>
      <c r="Q116" s="255"/>
    </row>
    <row r="117" spans="1:17" s="144" customFormat="1" ht="15.75">
      <c r="A117" s="44"/>
      <c r="B117" s="482">
        <v>2504</v>
      </c>
      <c r="C117" s="482"/>
      <c r="D117" s="11"/>
      <c r="E117" s="11" t="s">
        <v>10</v>
      </c>
      <c r="F117" s="12">
        <f>F118+F119</f>
        <v>0</v>
      </c>
      <c r="G117" s="12">
        <f aca="true" t="shared" si="33" ref="G117:L117">G118+G119</f>
        <v>1660000</v>
      </c>
      <c r="H117" s="12">
        <f t="shared" si="33"/>
        <v>0</v>
      </c>
      <c r="I117" s="259">
        <f>I118+I119</f>
        <v>2420000</v>
      </c>
      <c r="J117" s="12">
        <f t="shared" si="33"/>
        <v>0</v>
      </c>
      <c r="K117" s="12">
        <f t="shared" si="33"/>
        <v>0</v>
      </c>
      <c r="L117" s="81">
        <f t="shared" si="33"/>
        <v>2420000</v>
      </c>
      <c r="M117" s="256"/>
      <c r="N117" s="325"/>
      <c r="O117" s="255"/>
      <c r="P117" s="256"/>
      <c r="Q117" s="255"/>
    </row>
    <row r="118" spans="1:16" s="144" customFormat="1" ht="15.75">
      <c r="A118" s="44"/>
      <c r="B118" s="11"/>
      <c r="C118" s="11"/>
      <c r="D118" s="11">
        <v>12</v>
      </c>
      <c r="E118" s="11"/>
      <c r="F118" s="12">
        <v>0</v>
      </c>
      <c r="G118" s="12">
        <v>1650000</v>
      </c>
      <c r="H118" s="21">
        <v>0</v>
      </c>
      <c r="I118" s="259">
        <v>2100000</v>
      </c>
      <c r="J118" s="21">
        <v>0</v>
      </c>
      <c r="K118" s="21">
        <v>0</v>
      </c>
      <c r="L118" s="81">
        <f t="shared" si="32"/>
        <v>2100000</v>
      </c>
      <c r="M118" s="256">
        <f>2100000000/1000</f>
        <v>2100000</v>
      </c>
      <c r="N118" s="325"/>
      <c r="O118" s="255"/>
      <c r="P118" s="255"/>
    </row>
    <row r="119" spans="1:17" s="144" customFormat="1" ht="18" customHeight="1">
      <c r="A119" s="45"/>
      <c r="B119" s="14"/>
      <c r="C119" s="14"/>
      <c r="D119" s="14">
        <v>17</v>
      </c>
      <c r="E119" s="14"/>
      <c r="F119" s="15">
        <v>0</v>
      </c>
      <c r="G119" s="15">
        <v>10000</v>
      </c>
      <c r="H119" s="352">
        <v>0</v>
      </c>
      <c r="I119" s="260">
        <v>320000</v>
      </c>
      <c r="J119" s="20">
        <v>0</v>
      </c>
      <c r="K119" s="20"/>
      <c r="L119" s="84">
        <f t="shared" si="32"/>
        <v>320000</v>
      </c>
      <c r="M119" s="256"/>
      <c r="N119" s="325"/>
      <c r="O119" s="255"/>
      <c r="P119" s="256"/>
      <c r="Q119" s="255"/>
    </row>
    <row r="120" spans="1:17" s="144" customFormat="1" ht="63.75">
      <c r="A120" s="80"/>
      <c r="B120" s="56"/>
      <c r="C120" s="56"/>
      <c r="D120" s="56"/>
      <c r="E120" s="91" t="s">
        <v>87</v>
      </c>
      <c r="F120" s="85">
        <f aca="true" t="shared" si="34" ref="F120:K121">F121</f>
        <v>0</v>
      </c>
      <c r="G120" s="85">
        <f t="shared" si="34"/>
        <v>2400000</v>
      </c>
      <c r="H120" s="85">
        <f>H121</f>
        <v>0</v>
      </c>
      <c r="I120" s="280">
        <f t="shared" si="34"/>
        <v>3400000</v>
      </c>
      <c r="J120" s="111">
        <f t="shared" si="34"/>
        <v>6000000</v>
      </c>
      <c r="K120" s="111">
        <f t="shared" si="34"/>
        <v>6240000</v>
      </c>
      <c r="L120" s="86">
        <f t="shared" si="32"/>
        <v>15640000</v>
      </c>
      <c r="M120" s="335"/>
      <c r="N120" s="325"/>
      <c r="O120" s="255"/>
      <c r="P120" s="256"/>
      <c r="Q120" s="255"/>
    </row>
    <row r="121" spans="1:17" s="144" customFormat="1" ht="15.75">
      <c r="A121" s="82">
        <v>20</v>
      </c>
      <c r="B121" s="8"/>
      <c r="C121" s="8"/>
      <c r="D121" s="8"/>
      <c r="E121" s="5" t="s">
        <v>9</v>
      </c>
      <c r="F121" s="9">
        <f t="shared" si="34"/>
        <v>0</v>
      </c>
      <c r="G121" s="9">
        <f t="shared" si="34"/>
        <v>2400000</v>
      </c>
      <c r="H121" s="9">
        <f>H122</f>
        <v>0</v>
      </c>
      <c r="I121" s="269">
        <f t="shared" si="34"/>
        <v>3400000</v>
      </c>
      <c r="J121" s="2">
        <f t="shared" si="34"/>
        <v>6000000</v>
      </c>
      <c r="K121" s="2">
        <f t="shared" si="34"/>
        <v>6240000</v>
      </c>
      <c r="L121" s="88">
        <f t="shared" si="32"/>
        <v>15640000</v>
      </c>
      <c r="M121" s="325"/>
      <c r="N121" s="325"/>
      <c r="O121" s="255"/>
      <c r="P121" s="256"/>
      <c r="Q121" s="255"/>
    </row>
    <row r="122" spans="1:17" s="144" customFormat="1" ht="15.75">
      <c r="A122" s="44"/>
      <c r="B122" s="482">
        <v>2202</v>
      </c>
      <c r="C122" s="482"/>
      <c r="D122" s="11"/>
      <c r="E122" s="11" t="s">
        <v>10</v>
      </c>
      <c r="F122" s="12">
        <f aca="true" t="shared" si="35" ref="F122:K122">F123+F124</f>
        <v>0</v>
      </c>
      <c r="G122" s="12">
        <f t="shared" si="35"/>
        <v>2400000</v>
      </c>
      <c r="H122" s="12">
        <f t="shared" si="35"/>
        <v>0</v>
      </c>
      <c r="I122" s="259">
        <f t="shared" si="35"/>
        <v>3400000</v>
      </c>
      <c r="J122" s="12">
        <f t="shared" si="35"/>
        <v>6000000</v>
      </c>
      <c r="K122" s="12">
        <f t="shared" si="35"/>
        <v>6240000</v>
      </c>
      <c r="L122" s="68">
        <f t="shared" si="32"/>
        <v>15640000</v>
      </c>
      <c r="M122" s="325"/>
      <c r="N122" s="325"/>
      <c r="O122" s="255"/>
      <c r="P122" s="256"/>
      <c r="Q122" s="255"/>
    </row>
    <row r="123" spans="1:17" s="144" customFormat="1" ht="15.75">
      <c r="A123" s="44"/>
      <c r="B123" s="11"/>
      <c r="C123" s="11"/>
      <c r="D123" s="11">
        <v>12</v>
      </c>
      <c r="E123" s="11"/>
      <c r="F123" s="12">
        <v>0</v>
      </c>
      <c r="G123" s="12">
        <v>2000000</v>
      </c>
      <c r="H123" s="21">
        <v>0</v>
      </c>
      <c r="I123" s="259">
        <v>2800000</v>
      </c>
      <c r="J123" s="21">
        <v>5040000</v>
      </c>
      <c r="K123" s="21">
        <v>5040000</v>
      </c>
      <c r="L123" s="68">
        <f t="shared" si="32"/>
        <v>12880000</v>
      </c>
      <c r="M123" s="325">
        <f>2800000000/1000</f>
        <v>2800000</v>
      </c>
      <c r="N123" s="325"/>
      <c r="O123" s="255"/>
      <c r="P123" s="256"/>
      <c r="Q123" s="255"/>
    </row>
    <row r="124" spans="1:17" s="144" customFormat="1" ht="15.75">
      <c r="A124" s="45"/>
      <c r="B124" s="14"/>
      <c r="C124" s="14"/>
      <c r="D124" s="14">
        <v>17</v>
      </c>
      <c r="E124" s="14"/>
      <c r="F124" s="15">
        <v>0</v>
      </c>
      <c r="G124" s="15">
        <v>400000</v>
      </c>
      <c r="H124" s="20">
        <v>0</v>
      </c>
      <c r="I124" s="260">
        <v>600000</v>
      </c>
      <c r="J124" s="20">
        <v>960000</v>
      </c>
      <c r="K124" s="20">
        <v>1200000</v>
      </c>
      <c r="L124" s="87">
        <f t="shared" si="32"/>
        <v>2760000</v>
      </c>
      <c r="M124" s="325"/>
      <c r="N124" s="325"/>
      <c r="O124" s="255"/>
      <c r="P124" s="256"/>
      <c r="Q124" s="255"/>
    </row>
    <row r="125" spans="1:14" ht="17.25">
      <c r="A125" s="281"/>
      <c r="B125" s="282"/>
      <c r="C125" s="282"/>
      <c r="D125" s="282"/>
      <c r="E125" s="283" t="s">
        <v>12</v>
      </c>
      <c r="F125" s="284">
        <f>F122+F117+F90+F84+F78+F74+F63+F57+F52+F46+F41+F19</f>
        <v>3910984.0599999996</v>
      </c>
      <c r="G125" s="284">
        <f aca="true" t="shared" si="36" ref="G125:L125">G74+G68+G57+G52+G46+G41+G36+G25+G12+G78+G90+G96+G101+G107+G112+G117+G122+G84</f>
        <v>12867400</v>
      </c>
      <c r="H125" s="284">
        <f t="shared" si="36"/>
        <v>1090491.74</v>
      </c>
      <c r="I125" s="284">
        <f t="shared" si="36"/>
        <v>21813870</v>
      </c>
      <c r="J125" s="284">
        <f t="shared" si="36"/>
        <v>23131210</v>
      </c>
      <c r="K125" s="284">
        <f t="shared" si="36"/>
        <v>12318000</v>
      </c>
      <c r="L125" s="284">
        <f t="shared" si="36"/>
        <v>57263080</v>
      </c>
      <c r="M125" s="338"/>
      <c r="N125" s="288"/>
    </row>
    <row r="126" spans="1:13" ht="9.75" customHeight="1">
      <c r="A126" s="60"/>
      <c r="B126" s="22"/>
      <c r="C126" s="22"/>
      <c r="D126" s="22"/>
      <c r="E126" s="22"/>
      <c r="F126" s="21"/>
      <c r="G126" s="21"/>
      <c r="H126" s="61"/>
      <c r="I126" s="21"/>
      <c r="J126" s="21"/>
      <c r="K126" s="61"/>
      <c r="L126" s="68"/>
      <c r="M126" s="325"/>
    </row>
    <row r="127" spans="1:13" ht="17.25">
      <c r="A127" s="285"/>
      <c r="B127" s="286"/>
      <c r="C127" s="286"/>
      <c r="D127" s="286"/>
      <c r="E127" s="286"/>
      <c r="F127" s="287">
        <f>F128+F130</f>
        <v>3910984.0599999996</v>
      </c>
      <c r="G127" s="287">
        <f aca="true" t="shared" si="37" ref="G127:L127">G128+G130</f>
        <v>12867400</v>
      </c>
      <c r="H127" s="287">
        <f t="shared" si="37"/>
        <v>1090491.74</v>
      </c>
      <c r="I127" s="287">
        <f>I128+I130</f>
        <v>21813870</v>
      </c>
      <c r="J127" s="287">
        <f t="shared" si="37"/>
        <v>23131210</v>
      </c>
      <c r="K127" s="287">
        <f t="shared" si="37"/>
        <v>12318000</v>
      </c>
      <c r="L127" s="287">
        <f t="shared" si="37"/>
        <v>57263080</v>
      </c>
      <c r="M127" s="336"/>
    </row>
    <row r="128" spans="1:13" ht="17.25">
      <c r="A128" s="80"/>
      <c r="B128" s="18" t="s">
        <v>14</v>
      </c>
      <c r="C128" s="18"/>
      <c r="D128" s="18"/>
      <c r="E128" s="18"/>
      <c r="F128" s="53">
        <f aca="true" t="shared" si="38" ref="F128:L128">F129</f>
        <v>524349.6799999999</v>
      </c>
      <c r="G128" s="53">
        <f t="shared" si="38"/>
        <v>1687400</v>
      </c>
      <c r="H128" s="53">
        <f t="shared" si="38"/>
        <v>204691.28</v>
      </c>
      <c r="I128" s="176">
        <f t="shared" si="38"/>
        <v>3191590</v>
      </c>
      <c r="J128" s="53">
        <f t="shared" si="38"/>
        <v>3862880</v>
      </c>
      <c r="K128" s="53">
        <f t="shared" si="38"/>
        <v>2386000</v>
      </c>
      <c r="L128" s="76">
        <f t="shared" si="38"/>
        <v>9440470</v>
      </c>
      <c r="M128" s="333"/>
    </row>
    <row r="129" spans="1:13" ht="15.75">
      <c r="A129" s="44">
        <v>17</v>
      </c>
      <c r="B129" s="11">
        <v>17</v>
      </c>
      <c r="C129" s="11" t="s">
        <v>15</v>
      </c>
      <c r="D129" s="11"/>
      <c r="E129" s="11"/>
      <c r="F129" s="12">
        <f>F124+F119+F93+F87+F81+F66+F59+F49+F43+F22</f>
        <v>524349.6799999999</v>
      </c>
      <c r="G129" s="12">
        <f>G124+G119+G93+G87+G81+G71+G59+G49+G28</f>
        <v>1687400</v>
      </c>
      <c r="H129" s="12">
        <f>H15+H28+H38+H43+H49+H59+H71+H81+H93+H98+H104+H109+H114+H124</f>
        <v>204691.28</v>
      </c>
      <c r="I129" s="258">
        <f>I124+I119+I93+I87+I81+I71+I59+I28</f>
        <v>3191590</v>
      </c>
      <c r="J129" s="21">
        <f>J93+J87+J124+J119+J81+J71+J59+J49+J43+J28</f>
        <v>3862880</v>
      </c>
      <c r="K129" s="21">
        <f>K93+K87+K124+K119+K81+K71+K59+K49+K43+K28</f>
        <v>2386000</v>
      </c>
      <c r="L129" s="68">
        <f>L93+L87+L124+L119+L81+L71+L59+L49+L43+L28</f>
        <v>9440470</v>
      </c>
      <c r="M129" s="256"/>
    </row>
    <row r="130" spans="1:13" ht="17.25">
      <c r="A130" s="82"/>
      <c r="B130" s="8" t="s">
        <v>16</v>
      </c>
      <c r="C130" s="8"/>
      <c r="D130" s="8"/>
      <c r="E130" s="8"/>
      <c r="F130" s="30">
        <f aca="true" t="shared" si="39" ref="F130:L130">F131+F132+F133</f>
        <v>3386634.3799999994</v>
      </c>
      <c r="G130" s="30">
        <f t="shared" si="39"/>
        <v>11180000</v>
      </c>
      <c r="H130" s="30">
        <f t="shared" si="39"/>
        <v>885800.4600000001</v>
      </c>
      <c r="I130" s="257">
        <f t="shared" si="39"/>
        <v>18622280</v>
      </c>
      <c r="J130" s="30">
        <f t="shared" si="39"/>
        <v>19268330</v>
      </c>
      <c r="K130" s="30">
        <f t="shared" si="39"/>
        <v>9932000</v>
      </c>
      <c r="L130" s="92">
        <f t="shared" si="39"/>
        <v>47822610</v>
      </c>
      <c r="M130" s="333"/>
    </row>
    <row r="131" spans="1:13" ht="15.75">
      <c r="A131" s="44">
        <v>12</v>
      </c>
      <c r="B131" s="11">
        <v>12</v>
      </c>
      <c r="C131" s="11" t="s">
        <v>17</v>
      </c>
      <c r="D131" s="11"/>
      <c r="E131" s="11"/>
      <c r="F131" s="12">
        <f>F118+F91+F85+F79+F75+F64+F53+F47+F20+F123</f>
        <v>3327721.0799999996</v>
      </c>
      <c r="G131" s="12">
        <f>G118+G91+G85+G79+G75+G69+G53+G47+G26+G123</f>
        <v>11145000</v>
      </c>
      <c r="H131" s="12">
        <f>H13+H26+H37+H47+H53+H69+H75+H79+H91+H97+H102+H108+H113</f>
        <v>879507.43</v>
      </c>
      <c r="I131" s="178">
        <f>I26+I47+I53+I69+I75+I79+I85+I91+I118+I123</f>
        <v>18419530</v>
      </c>
      <c r="J131" s="21">
        <f>J118+J91+J85+J79+J75+J69+J53+J47+J26+J123</f>
        <v>19074370</v>
      </c>
      <c r="K131" s="21">
        <f>K118+K91+K85+K79+K75+K69+K53+K47+K26+K123</f>
        <v>9932000</v>
      </c>
      <c r="L131" s="68">
        <f>L118+L91+L85+L79+L75+L69+L53+L47+L26+L123</f>
        <v>47425900</v>
      </c>
      <c r="M131" s="325"/>
    </row>
    <row r="132" spans="1:13" ht="15.75">
      <c r="A132" s="44">
        <v>13</v>
      </c>
      <c r="B132" s="11">
        <v>13</v>
      </c>
      <c r="C132" s="11" t="s">
        <v>18</v>
      </c>
      <c r="D132" s="11"/>
      <c r="E132" s="11"/>
      <c r="F132" s="12">
        <f aca="true" t="shared" si="40" ref="F132:L132">F54+F103</f>
        <v>0</v>
      </c>
      <c r="G132" s="12">
        <f t="shared" si="40"/>
        <v>20000</v>
      </c>
      <c r="H132" s="12">
        <f t="shared" si="40"/>
        <v>0</v>
      </c>
      <c r="I132" s="178">
        <f t="shared" si="40"/>
        <v>0</v>
      </c>
      <c r="J132" s="21">
        <f t="shared" si="40"/>
        <v>0</v>
      </c>
      <c r="K132" s="21">
        <f t="shared" si="40"/>
        <v>0</v>
      </c>
      <c r="L132" s="68">
        <f t="shared" si="40"/>
        <v>0</v>
      </c>
      <c r="M132" s="325"/>
    </row>
    <row r="133" spans="1:13" ht="15.75">
      <c r="A133" s="45">
        <v>14</v>
      </c>
      <c r="B133" s="14">
        <v>14</v>
      </c>
      <c r="C133" s="14" t="s">
        <v>19</v>
      </c>
      <c r="D133" s="14"/>
      <c r="E133" s="14"/>
      <c r="F133" s="15">
        <f>F123+F86+F58+F42+F21</f>
        <v>58913.3</v>
      </c>
      <c r="G133" s="15">
        <f>G14+G27+G42+G48+G58+G70+G80+G92</f>
        <v>15000</v>
      </c>
      <c r="H133" s="15">
        <f>H14+H27+H42+H48+H58+H70+H80+H92</f>
        <v>6293.03</v>
      </c>
      <c r="I133" s="179">
        <f>I86+I58+I42+I27</f>
        <v>202750</v>
      </c>
      <c r="J133" s="179">
        <f>J86+J58+J42+J27</f>
        <v>193960</v>
      </c>
      <c r="K133" s="179">
        <f>K86+K58+K42+K27</f>
        <v>0</v>
      </c>
      <c r="L133" s="382">
        <f>L86+L58+L42+L27</f>
        <v>396710</v>
      </c>
      <c r="M133" s="325"/>
    </row>
    <row r="134" spans="1:13" ht="15.75">
      <c r="A134" s="6"/>
      <c r="B134" s="6"/>
      <c r="C134" s="6"/>
      <c r="D134" s="6"/>
      <c r="E134" s="6"/>
      <c r="F134" s="6"/>
      <c r="G134" s="6"/>
      <c r="H134" s="39" t="s">
        <v>32</v>
      </c>
      <c r="I134" s="6"/>
      <c r="J134" s="6"/>
      <c r="K134" s="39"/>
      <c r="L134" s="6"/>
      <c r="M134" s="216"/>
    </row>
    <row r="135" spans="1:13" ht="15.75">
      <c r="A135" s="6"/>
      <c r="B135" s="6"/>
      <c r="C135" s="6"/>
      <c r="D135" s="6"/>
      <c r="E135" s="6"/>
      <c r="F135" s="233">
        <f aca="true" t="shared" si="41" ref="F135:L135">F8-F125</f>
        <v>0</v>
      </c>
      <c r="G135" s="233">
        <f t="shared" si="41"/>
        <v>0</v>
      </c>
      <c r="H135" s="233">
        <f t="shared" si="41"/>
        <v>0</v>
      </c>
      <c r="I135" s="233">
        <f t="shared" si="41"/>
        <v>0</v>
      </c>
      <c r="J135" s="233">
        <f t="shared" si="41"/>
        <v>0</v>
      </c>
      <c r="K135" s="233">
        <f t="shared" si="41"/>
        <v>0</v>
      </c>
      <c r="L135" s="233">
        <f t="shared" si="41"/>
        <v>0</v>
      </c>
      <c r="M135" s="216"/>
    </row>
    <row r="136" spans="1:13" ht="15.75">
      <c r="A136" s="6"/>
      <c r="B136" s="6"/>
      <c r="C136" s="6"/>
      <c r="D136" s="6"/>
      <c r="E136" s="6"/>
      <c r="F136" s="233">
        <f aca="true" t="shared" si="42" ref="F136:L136">F127-F8</f>
        <v>0</v>
      </c>
      <c r="G136" s="233">
        <f t="shared" si="42"/>
        <v>0</v>
      </c>
      <c r="H136" s="233">
        <f t="shared" si="42"/>
        <v>0</v>
      </c>
      <c r="I136" s="233">
        <f>I127-I8</f>
        <v>0</v>
      </c>
      <c r="J136" s="233">
        <f t="shared" si="42"/>
        <v>0</v>
      </c>
      <c r="K136" s="233">
        <f t="shared" si="42"/>
        <v>0</v>
      </c>
      <c r="L136" s="233">
        <f t="shared" si="42"/>
        <v>0</v>
      </c>
      <c r="M136" s="216"/>
    </row>
    <row r="137" spans="1:13" ht="15.75">
      <c r="A137" s="6"/>
      <c r="B137" s="6"/>
      <c r="C137" s="6"/>
      <c r="D137" s="6"/>
      <c r="E137" s="6"/>
      <c r="F137" s="6"/>
      <c r="G137" s="6"/>
      <c r="H137" s="39"/>
      <c r="I137" s="6"/>
      <c r="J137" s="6"/>
      <c r="K137" s="39"/>
      <c r="L137" s="6"/>
      <c r="M137" s="216"/>
    </row>
    <row r="138" spans="1:13" ht="15.75">
      <c r="A138" s="6"/>
      <c r="B138" s="6"/>
      <c r="C138" s="6"/>
      <c r="D138" s="6"/>
      <c r="E138" s="6"/>
      <c r="F138" s="233">
        <f>F125-F127</f>
        <v>0</v>
      </c>
      <c r="G138" s="233">
        <f aca="true" t="shared" si="43" ref="G138:L138">G125-G127</f>
        <v>0</v>
      </c>
      <c r="H138" s="233">
        <f t="shared" si="43"/>
        <v>0</v>
      </c>
      <c r="I138" s="233">
        <f t="shared" si="43"/>
        <v>0</v>
      </c>
      <c r="J138" s="233">
        <f t="shared" si="43"/>
        <v>0</v>
      </c>
      <c r="K138" s="233">
        <f t="shared" si="43"/>
        <v>0</v>
      </c>
      <c r="L138" s="233">
        <f t="shared" si="43"/>
        <v>0</v>
      </c>
      <c r="M138" s="216"/>
    </row>
    <row r="139" spans="1:13" ht="15.75">
      <c r="A139" s="6"/>
      <c r="B139" s="6"/>
      <c r="C139" s="6"/>
      <c r="D139" s="6"/>
      <c r="E139" s="6"/>
      <c r="F139" s="6"/>
      <c r="G139" s="6"/>
      <c r="H139" s="39"/>
      <c r="I139" s="6"/>
      <c r="J139" s="6"/>
      <c r="K139" s="39"/>
      <c r="L139" s="6"/>
      <c r="M139" s="216"/>
    </row>
    <row r="140" spans="1:13" ht="15.75">
      <c r="A140" s="6"/>
      <c r="B140" s="6"/>
      <c r="C140" s="6"/>
      <c r="D140" s="6"/>
      <c r="E140" s="355"/>
      <c r="F140" s="356"/>
      <c r="G140" s="356"/>
      <c r="H140" s="356"/>
      <c r="I140" s="356"/>
      <c r="J140" s="356"/>
      <c r="K140" s="356"/>
      <c r="L140" s="356"/>
      <c r="M140" s="216"/>
    </row>
    <row r="141" spans="1:13" ht="15.75">
      <c r="A141" s="6"/>
      <c r="B141" s="6"/>
      <c r="C141" s="6"/>
      <c r="D141" s="6"/>
      <c r="F141" s="356"/>
      <c r="G141" s="356"/>
      <c r="H141" s="356"/>
      <c r="I141" s="356"/>
      <c r="J141" s="356"/>
      <c r="K141" s="356"/>
      <c r="L141" s="356"/>
      <c r="M141" s="216"/>
    </row>
    <row r="142" spans="1:13" ht="15.75">
      <c r="A142" s="6"/>
      <c r="B142" s="6"/>
      <c r="C142" s="6"/>
      <c r="D142" s="6"/>
      <c r="E142" s="314"/>
      <c r="F142" s="314"/>
      <c r="G142" s="341"/>
      <c r="H142" s="289"/>
      <c r="I142" s="357"/>
      <c r="J142" s="6"/>
      <c r="K142" s="39"/>
      <c r="L142" s="6"/>
      <c r="M142" s="216"/>
    </row>
    <row r="143" spans="1:13" ht="15.75">
      <c r="A143" s="6"/>
      <c r="B143" s="6"/>
      <c r="C143" s="6"/>
      <c r="D143" s="6"/>
      <c r="E143" s="306"/>
      <c r="F143" s="357"/>
      <c r="G143" s="357"/>
      <c r="H143" s="357"/>
      <c r="I143" s="357"/>
      <c r="J143" s="357"/>
      <c r="K143" s="357"/>
      <c r="L143" s="357"/>
      <c r="M143" s="216"/>
    </row>
    <row r="144" spans="1:13" ht="15.75">
      <c r="A144" s="6"/>
      <c r="B144" s="6"/>
      <c r="C144" s="6"/>
      <c r="D144" s="6"/>
      <c r="E144" s="306"/>
      <c r="F144" s="306"/>
      <c r="G144" s="306"/>
      <c r="H144" s="291"/>
      <c r="I144" s="306"/>
      <c r="J144" s="6"/>
      <c r="K144" s="39"/>
      <c r="L144" s="6"/>
      <c r="M144" s="216"/>
    </row>
    <row r="145" spans="1:13" ht="15.75">
      <c r="A145" s="6"/>
      <c r="B145" s="6"/>
      <c r="C145" s="6"/>
      <c r="D145" s="6"/>
      <c r="E145" s="22"/>
      <c r="F145" s="22"/>
      <c r="G145" s="22"/>
      <c r="H145" s="102"/>
      <c r="I145" s="22"/>
      <c r="J145" s="6"/>
      <c r="K145" s="39"/>
      <c r="L145" s="6"/>
      <c r="M145" s="216"/>
    </row>
    <row r="146" spans="1:13" ht="15.75">
      <c r="A146" s="6"/>
      <c r="B146" s="6"/>
      <c r="C146" s="6"/>
      <c r="D146" s="6"/>
      <c r="E146" s="293"/>
      <c r="F146" s="293"/>
      <c r="G146" s="293"/>
      <c r="H146" s="293"/>
      <c r="I146" s="293"/>
      <c r="J146" s="6"/>
      <c r="K146" s="39"/>
      <c r="L146" s="6"/>
      <c r="M146" s="216"/>
    </row>
    <row r="147" spans="1:13" ht="15.75">
      <c r="A147" s="6"/>
      <c r="B147" s="6"/>
      <c r="C147" s="6"/>
      <c r="D147" s="6"/>
      <c r="E147" s="353"/>
      <c r="F147" s="22"/>
      <c r="G147" s="22"/>
      <c r="H147" s="309"/>
      <c r="I147" s="22"/>
      <c r="J147" s="6"/>
      <c r="K147" s="39"/>
      <c r="L147" s="6"/>
      <c r="M147" s="216"/>
    </row>
    <row r="148" spans="1:13" ht="15.75">
      <c r="A148" s="6"/>
      <c r="B148" s="6"/>
      <c r="C148" s="6"/>
      <c r="D148" s="6"/>
      <c r="E148" s="22"/>
      <c r="F148" s="22"/>
      <c r="G148" s="22"/>
      <c r="H148" s="102"/>
      <c r="I148" s="22"/>
      <c r="J148" s="6"/>
      <c r="K148" s="39"/>
      <c r="L148" s="6"/>
      <c r="M148" s="216"/>
    </row>
    <row r="149" spans="1:13" ht="15.75">
      <c r="A149" s="6"/>
      <c r="B149" s="6"/>
      <c r="C149" s="6"/>
      <c r="D149" s="6"/>
      <c r="E149" s="6"/>
      <c r="F149" s="6"/>
      <c r="G149" s="6"/>
      <c r="H149" s="39"/>
      <c r="I149" s="6"/>
      <c r="J149" s="6"/>
      <c r="K149" s="39"/>
      <c r="L149" s="6"/>
      <c r="M149" s="216"/>
    </row>
    <row r="150" spans="6:13" ht="15.75">
      <c r="F150" s="6"/>
      <c r="G150" s="6"/>
      <c r="H150" s="39"/>
      <c r="I150" s="6"/>
      <c r="J150" s="6"/>
      <c r="K150" s="39"/>
      <c r="L150" s="6"/>
      <c r="M150" s="216"/>
    </row>
    <row r="151" spans="6:13" ht="15.75">
      <c r="F151" s="6"/>
      <c r="G151" s="6"/>
      <c r="H151" s="39"/>
      <c r="I151" s="6"/>
      <c r="J151" s="6"/>
      <c r="K151" s="39"/>
      <c r="L151" s="6"/>
      <c r="M151" s="216"/>
    </row>
    <row r="152" spans="5:13" ht="15.75">
      <c r="E152" s="293"/>
      <c r="F152" s="293"/>
      <c r="G152" s="293"/>
      <c r="H152" s="293"/>
      <c r="I152" s="293"/>
      <c r="J152" s="22"/>
      <c r="K152" s="102"/>
      <c r="L152" s="6"/>
      <c r="M152" s="216"/>
    </row>
    <row r="153" spans="5:13" ht="15.75">
      <c r="E153" s="293"/>
      <c r="F153" s="293"/>
      <c r="G153" s="293"/>
      <c r="H153" s="293"/>
      <c r="I153" s="294"/>
      <c r="J153" s="22"/>
      <c r="K153" s="102"/>
      <c r="L153" s="6"/>
      <c r="M153" s="216"/>
    </row>
    <row r="154" spans="5:13" ht="17.25">
      <c r="E154" s="480"/>
      <c r="F154" s="480"/>
      <c r="G154" s="63"/>
      <c r="H154" s="295"/>
      <c r="I154" s="293"/>
      <c r="J154" s="22"/>
      <c r="K154" s="102"/>
      <c r="L154" s="6"/>
      <c r="M154" s="216"/>
    </row>
    <row r="155" spans="5:13" ht="17.25">
      <c r="E155" s="481"/>
      <c r="F155" s="481"/>
      <c r="G155" s="63"/>
      <c r="H155" s="295"/>
      <c r="I155" s="293"/>
      <c r="J155" s="22"/>
      <c r="K155" s="102"/>
      <c r="L155" s="6"/>
      <c r="M155" s="216"/>
    </row>
    <row r="156" spans="5:13" ht="17.25">
      <c r="E156" s="296"/>
      <c r="F156" s="296"/>
      <c r="G156" s="297"/>
      <c r="H156" s="295"/>
      <c r="I156" s="293"/>
      <c r="J156" s="22"/>
      <c r="K156" s="102"/>
      <c r="L156" s="6"/>
      <c r="M156" s="216"/>
    </row>
    <row r="157" spans="5:13" ht="17.25">
      <c r="E157" s="296"/>
      <c r="F157" s="296"/>
      <c r="G157" s="296"/>
      <c r="H157" s="295"/>
      <c r="I157" s="293"/>
      <c r="J157" s="22"/>
      <c r="K157" s="102"/>
      <c r="L157" s="6"/>
      <c r="M157" s="216"/>
    </row>
    <row r="158" spans="5:13" ht="17.25">
      <c r="E158" s="298"/>
      <c r="F158" s="296"/>
      <c r="G158" s="290"/>
      <c r="H158" s="299"/>
      <c r="I158" s="293"/>
      <c r="J158" s="22"/>
      <c r="K158" s="102"/>
      <c r="L158" s="6"/>
      <c r="M158" s="216"/>
    </row>
    <row r="159" spans="5:13" ht="17.25">
      <c r="E159" s="298"/>
      <c r="F159" s="296"/>
      <c r="G159" s="290"/>
      <c r="H159" s="299"/>
      <c r="I159" s="293"/>
      <c r="J159" s="22"/>
      <c r="K159" s="102"/>
      <c r="L159" s="6"/>
      <c r="M159" s="216"/>
    </row>
    <row r="160" spans="5:13" ht="17.25">
      <c r="E160" s="300"/>
      <c r="F160" s="296"/>
      <c r="G160" s="301"/>
      <c r="H160" s="299"/>
      <c r="I160" s="293"/>
      <c r="J160" s="22"/>
      <c r="K160" s="102"/>
      <c r="L160" s="6"/>
      <c r="M160" s="216"/>
    </row>
    <row r="161" spans="5:13" ht="17.25">
      <c r="E161" s="302"/>
      <c r="F161" s="296"/>
      <c r="G161" s="301"/>
      <c r="H161" s="299"/>
      <c r="I161" s="293"/>
      <c r="J161" s="22"/>
      <c r="K161" s="102"/>
      <c r="L161" s="6"/>
      <c r="M161" s="216"/>
    </row>
    <row r="162" spans="5:13" ht="17.25">
      <c r="E162" s="296"/>
      <c r="F162" s="296"/>
      <c r="G162" s="303"/>
      <c r="H162" s="295"/>
      <c r="I162" s="293"/>
      <c r="J162" s="22"/>
      <c r="K162" s="102"/>
      <c r="L162" s="6"/>
      <c r="M162" s="216"/>
    </row>
    <row r="163" spans="5:13" ht="17.25">
      <c r="E163" s="296"/>
      <c r="F163" s="296"/>
      <c r="G163" s="296"/>
      <c r="H163" s="295"/>
      <c r="I163" s="293"/>
      <c r="J163" s="22"/>
      <c r="K163" s="102"/>
      <c r="L163" s="6"/>
      <c r="M163" s="216"/>
    </row>
    <row r="164" spans="5:13" ht="15.75">
      <c r="E164" s="22"/>
      <c r="F164" s="22"/>
      <c r="G164" s="22"/>
      <c r="H164" s="304"/>
      <c r="I164" s="305"/>
      <c r="J164" s="22"/>
      <c r="K164" s="102"/>
      <c r="L164" s="6"/>
      <c r="M164" s="216"/>
    </row>
    <row r="165" spans="5:13" ht="15.75">
      <c r="E165" s="22"/>
      <c r="F165" s="22"/>
      <c r="G165" s="22"/>
      <c r="H165" s="304"/>
      <c r="I165" s="305"/>
      <c r="J165" s="22"/>
      <c r="K165" s="102"/>
      <c r="L165" s="6"/>
      <c r="M165" s="216"/>
    </row>
    <row r="166" spans="5:13" ht="15.75">
      <c r="E166" s="306"/>
      <c r="F166" s="307"/>
      <c r="G166" s="289"/>
      <c r="H166" s="47"/>
      <c r="I166" s="102"/>
      <c r="J166" s="22"/>
      <c r="K166" s="102"/>
      <c r="L166" s="6"/>
      <c r="M166" s="216"/>
    </row>
    <row r="167" spans="5:13" ht="15.75">
      <c r="E167" s="306"/>
      <c r="F167" s="307"/>
      <c r="G167" s="289"/>
      <c r="H167" s="47"/>
      <c r="I167" s="102"/>
      <c r="J167" s="22"/>
      <c r="K167" s="102"/>
      <c r="L167" s="6"/>
      <c r="M167" s="216"/>
    </row>
    <row r="168" spans="5:13" ht="15.75">
      <c r="E168" s="306"/>
      <c r="F168" s="307"/>
      <c r="G168" s="291"/>
      <c r="H168" s="308"/>
      <c r="I168" s="309"/>
      <c r="J168" s="22"/>
      <c r="K168" s="102"/>
      <c r="L168" s="6"/>
      <c r="M168" s="216"/>
    </row>
    <row r="169" spans="5:13" ht="15.75">
      <c r="E169" s="306"/>
      <c r="F169" s="307"/>
      <c r="G169" s="289"/>
      <c r="H169" s="47"/>
      <c r="I169" s="309"/>
      <c r="J169" s="22"/>
      <c r="K169" s="102"/>
      <c r="L169" s="6"/>
      <c r="M169" s="216"/>
    </row>
    <row r="170" spans="5:13" ht="15.75">
      <c r="E170" s="310"/>
      <c r="F170" s="310"/>
      <c r="G170" s="311"/>
      <c r="H170" s="310"/>
      <c r="I170" s="309"/>
      <c r="J170" s="22"/>
      <c r="K170" s="102"/>
      <c r="L170" s="6"/>
      <c r="M170" s="216"/>
    </row>
    <row r="171" spans="5:13" ht="15.75">
      <c r="E171" s="310"/>
      <c r="F171" s="310"/>
      <c r="G171" s="311"/>
      <c r="H171" s="310"/>
      <c r="I171" s="309"/>
      <c r="J171" s="22"/>
      <c r="K171" s="102"/>
      <c r="L171" s="6"/>
      <c r="M171" s="216"/>
    </row>
    <row r="172" spans="5:13" ht="15.75">
      <c r="E172" s="310"/>
      <c r="F172" s="310"/>
      <c r="G172" s="312"/>
      <c r="H172" s="310"/>
      <c r="I172" s="309"/>
      <c r="J172" s="22"/>
      <c r="K172" s="102"/>
      <c r="L172" s="6"/>
      <c r="M172" s="216"/>
    </row>
    <row r="173" spans="5:13" ht="15.75">
      <c r="E173" s="310"/>
      <c r="F173" s="310"/>
      <c r="G173" s="311"/>
      <c r="H173" s="310"/>
      <c r="I173" s="309"/>
      <c r="J173" s="22"/>
      <c r="K173" s="102"/>
      <c r="L173" s="6"/>
      <c r="M173" s="216"/>
    </row>
    <row r="174" spans="5:13" ht="15.75">
      <c r="E174" s="310"/>
      <c r="F174" s="310"/>
      <c r="G174" s="312"/>
      <c r="H174" s="310"/>
      <c r="I174" s="309"/>
      <c r="J174" s="22"/>
      <c r="K174" s="102"/>
      <c r="L174" s="6"/>
      <c r="M174" s="216"/>
    </row>
    <row r="175" spans="5:13" ht="15.75">
      <c r="E175" s="310"/>
      <c r="F175" s="310"/>
      <c r="G175" s="311"/>
      <c r="H175" s="313"/>
      <c r="I175" s="309"/>
      <c r="J175" s="22"/>
      <c r="K175" s="102"/>
      <c r="L175" s="6"/>
      <c r="M175" s="216"/>
    </row>
    <row r="176" spans="5:13" ht="15.75">
      <c r="E176" s="306"/>
      <c r="F176" s="307"/>
      <c r="G176" s="289"/>
      <c r="H176" s="47"/>
      <c r="I176" s="309"/>
      <c r="J176" s="22"/>
      <c r="K176" s="102"/>
      <c r="L176" s="6"/>
      <c r="M176" s="216"/>
    </row>
    <row r="177" spans="5:13" ht="15.75">
      <c r="E177" s="306"/>
      <c r="F177" s="307"/>
      <c r="G177" s="289"/>
      <c r="H177" s="47"/>
      <c r="I177" s="309"/>
      <c r="J177" s="22"/>
      <c r="K177" s="102"/>
      <c r="L177" s="6"/>
      <c r="M177" s="216"/>
    </row>
    <row r="178" spans="5:13" ht="15.75">
      <c r="E178" s="306"/>
      <c r="F178" s="22"/>
      <c r="G178" s="289"/>
      <c r="H178" s="47"/>
      <c r="I178" s="309"/>
      <c r="J178" s="22"/>
      <c r="K178" s="102"/>
      <c r="L178" s="6"/>
      <c r="M178" s="216"/>
    </row>
    <row r="179" spans="5:13" ht="15.75">
      <c r="E179" s="306"/>
      <c r="F179" s="307"/>
      <c r="G179" s="289"/>
      <c r="H179" s="47"/>
      <c r="I179" s="309"/>
      <c r="J179" s="22"/>
      <c r="K179" s="102"/>
      <c r="L179" s="6"/>
      <c r="M179" s="216"/>
    </row>
    <row r="180" spans="5:13" ht="15.75">
      <c r="E180" s="306"/>
      <c r="F180" s="307"/>
      <c r="G180" s="289"/>
      <c r="H180" s="308"/>
      <c r="I180" s="309"/>
      <c r="J180" s="22"/>
      <c r="K180" s="102"/>
      <c r="L180" s="6"/>
      <c r="M180" s="216"/>
    </row>
    <row r="181" spans="5:13" ht="15.75">
      <c r="E181" s="306"/>
      <c r="F181" s="307"/>
      <c r="G181" s="291"/>
      <c r="H181" s="308"/>
      <c r="I181" s="309"/>
      <c r="J181" s="22"/>
      <c r="K181" s="102"/>
      <c r="L181" s="6"/>
      <c r="M181" s="216"/>
    </row>
    <row r="182" spans="5:13" ht="15.75">
      <c r="E182" s="306"/>
      <c r="F182" s="307"/>
      <c r="G182" s="289"/>
      <c r="H182" s="308"/>
      <c r="I182" s="309"/>
      <c r="J182" s="22"/>
      <c r="K182" s="102"/>
      <c r="L182" s="6"/>
      <c r="M182" s="216"/>
    </row>
    <row r="183" spans="5:13" ht="15.75">
      <c r="E183" s="306"/>
      <c r="F183" s="310"/>
      <c r="G183" s="310"/>
      <c r="H183" s="310"/>
      <c r="I183" s="309"/>
      <c r="J183" s="22"/>
      <c r="K183" s="102"/>
      <c r="L183" s="6"/>
      <c r="M183" s="216"/>
    </row>
    <row r="184" spans="5:13" ht="15.75">
      <c r="E184" s="310"/>
      <c r="F184" s="310"/>
      <c r="G184" s="311"/>
      <c r="H184" s="310"/>
      <c r="I184" s="309"/>
      <c r="J184" s="22"/>
      <c r="K184" s="102"/>
      <c r="L184" s="6"/>
      <c r="M184" s="216"/>
    </row>
    <row r="185" spans="5:13" ht="15.75">
      <c r="E185" s="310"/>
      <c r="F185" s="310"/>
      <c r="G185" s="310"/>
      <c r="H185" s="310"/>
      <c r="I185" s="309"/>
      <c r="J185" s="22"/>
      <c r="K185" s="102"/>
      <c r="L185" s="6"/>
      <c r="M185" s="216"/>
    </row>
    <row r="186" spans="5:13" ht="15.75">
      <c r="E186" s="310"/>
      <c r="F186" s="310"/>
      <c r="G186" s="311"/>
      <c r="H186" s="310"/>
      <c r="I186" s="309"/>
      <c r="J186" s="22"/>
      <c r="K186" s="102"/>
      <c r="L186" s="6"/>
      <c r="M186" s="216"/>
    </row>
    <row r="187" spans="5:13" ht="15.75">
      <c r="E187" s="310"/>
      <c r="F187" s="310"/>
      <c r="G187" s="310"/>
      <c r="H187" s="310"/>
      <c r="I187" s="309"/>
      <c r="J187" s="22"/>
      <c r="K187" s="102"/>
      <c r="L187" s="6"/>
      <c r="M187" s="216"/>
    </row>
    <row r="188" spans="5:13" ht="15.75">
      <c r="E188" s="310"/>
      <c r="F188" s="310"/>
      <c r="G188" s="310"/>
      <c r="H188" s="310"/>
      <c r="I188" s="309"/>
      <c r="J188" s="22"/>
      <c r="K188" s="102"/>
      <c r="L188" s="6"/>
      <c r="M188" s="216"/>
    </row>
    <row r="189" spans="5:13" ht="15.75">
      <c r="E189" s="310"/>
      <c r="F189" s="310"/>
      <c r="G189" s="311"/>
      <c r="H189" s="313"/>
      <c r="I189" s="309"/>
      <c r="J189" s="22"/>
      <c r="K189" s="102"/>
      <c r="L189" s="6"/>
      <c r="M189" s="216"/>
    </row>
    <row r="190" spans="5:13" ht="15.75">
      <c r="E190" s="310"/>
      <c r="F190" s="310"/>
      <c r="G190" s="311"/>
      <c r="H190" s="313"/>
      <c r="I190" s="309"/>
      <c r="J190" s="22"/>
      <c r="K190" s="102"/>
      <c r="L190" s="6"/>
      <c r="M190" s="216"/>
    </row>
    <row r="191" spans="5:13" ht="15.75">
      <c r="E191" s="310"/>
      <c r="F191" s="310"/>
      <c r="G191" s="312"/>
      <c r="H191" s="313"/>
      <c r="I191" s="309"/>
      <c r="J191" s="22"/>
      <c r="K191" s="102"/>
      <c r="L191" s="6"/>
      <c r="M191" s="216"/>
    </row>
    <row r="192" spans="1:13" ht="15.75">
      <c r="A192" s="6"/>
      <c r="B192" s="6"/>
      <c r="C192" s="6"/>
      <c r="D192" s="6"/>
      <c r="E192" s="314"/>
      <c r="F192" s="22"/>
      <c r="G192" s="292"/>
      <c r="H192" s="47"/>
      <c r="I192" s="309"/>
      <c r="J192" s="22"/>
      <c r="K192" s="102"/>
      <c r="L192" s="6"/>
      <c r="M192" s="216"/>
    </row>
    <row r="193" spans="1:13" ht="15.75">
      <c r="A193" s="6"/>
      <c r="B193" s="6"/>
      <c r="C193" s="6"/>
      <c r="D193" s="6"/>
      <c r="E193" s="22"/>
      <c r="F193" s="22"/>
      <c r="G193" s="309"/>
      <c r="H193" s="102"/>
      <c r="I193" s="309"/>
      <c r="J193" s="22"/>
      <c r="K193" s="102"/>
      <c r="L193" s="6"/>
      <c r="M193" s="216"/>
    </row>
    <row r="194" spans="1:13" ht="15.75">
      <c r="A194" s="6"/>
      <c r="B194" s="6"/>
      <c r="C194" s="6"/>
      <c r="D194" s="6"/>
      <c r="E194" s="22"/>
      <c r="F194" s="22"/>
      <c r="G194" s="22"/>
      <c r="H194" s="102"/>
      <c r="I194" s="22"/>
      <c r="J194" s="22"/>
      <c r="K194" s="102"/>
      <c r="L194" s="6"/>
      <c r="M194" s="216"/>
    </row>
    <row r="195" spans="1:13" ht="15.75">
      <c r="A195" s="6"/>
      <c r="B195" s="6"/>
      <c r="C195" s="6"/>
      <c r="D195" s="6"/>
      <c r="E195" s="22"/>
      <c r="F195" s="22"/>
      <c r="G195" s="22"/>
      <c r="H195" s="102"/>
      <c r="I195" s="22"/>
      <c r="J195" s="22"/>
      <c r="K195" s="102"/>
      <c r="L195" s="6"/>
      <c r="M195" s="216"/>
    </row>
    <row r="196" spans="1:13" ht="15.75">
      <c r="A196" s="6"/>
      <c r="B196" s="6"/>
      <c r="C196" s="6"/>
      <c r="D196" s="6"/>
      <c r="E196" s="22"/>
      <c r="F196" s="22"/>
      <c r="G196" s="22"/>
      <c r="H196" s="102"/>
      <c r="I196" s="22"/>
      <c r="J196" s="22"/>
      <c r="K196" s="102"/>
      <c r="L196" s="6"/>
      <c r="M196" s="216"/>
    </row>
    <row r="197" spans="1:13" ht="15.75">
      <c r="A197" s="6"/>
      <c r="B197" s="6"/>
      <c r="C197" s="6"/>
      <c r="D197" s="6"/>
      <c r="E197" s="22"/>
      <c r="F197" s="22"/>
      <c r="G197" s="22"/>
      <c r="H197" s="102"/>
      <c r="I197" s="22"/>
      <c r="J197" s="22"/>
      <c r="K197" s="102"/>
      <c r="L197" s="6"/>
      <c r="M197" s="216"/>
    </row>
    <row r="198" spans="1:13" ht="15.75">
      <c r="A198" s="6"/>
      <c r="B198" s="6"/>
      <c r="C198" s="6"/>
      <c r="D198" s="6"/>
      <c r="E198" s="22"/>
      <c r="F198" s="22"/>
      <c r="G198" s="22"/>
      <c r="H198" s="102"/>
      <c r="I198" s="22"/>
      <c r="J198" s="22"/>
      <c r="K198" s="102"/>
      <c r="L198" s="6"/>
      <c r="M198" s="216"/>
    </row>
    <row r="199" spans="1:13" ht="15.75">
      <c r="A199" s="6"/>
      <c r="B199" s="6"/>
      <c r="C199" s="6"/>
      <c r="D199" s="6"/>
      <c r="E199" s="22"/>
      <c r="F199" s="22"/>
      <c r="G199" s="22"/>
      <c r="H199" s="102"/>
      <c r="I199" s="22"/>
      <c r="J199" s="22"/>
      <c r="K199" s="102"/>
      <c r="L199" s="6"/>
      <c r="M199" s="216"/>
    </row>
    <row r="200" spans="1:13" ht="15.75">
      <c r="A200" s="6"/>
      <c r="B200" s="6"/>
      <c r="C200" s="6"/>
      <c r="D200" s="6"/>
      <c r="E200" s="22"/>
      <c r="F200" s="22"/>
      <c r="G200" s="22"/>
      <c r="H200" s="102"/>
      <c r="I200" s="22"/>
      <c r="J200" s="22"/>
      <c r="K200" s="102"/>
      <c r="L200" s="6"/>
      <c r="M200" s="216"/>
    </row>
    <row r="201" spans="1:13" ht="15.75">
      <c r="A201" s="6"/>
      <c r="B201" s="6"/>
      <c r="C201" s="6"/>
      <c r="D201" s="6"/>
      <c r="E201" s="22"/>
      <c r="F201" s="22"/>
      <c r="G201" s="22"/>
      <c r="H201" s="102"/>
      <c r="I201" s="22"/>
      <c r="J201" s="22"/>
      <c r="K201" s="102"/>
      <c r="L201" s="6"/>
      <c r="M201" s="216"/>
    </row>
    <row r="202" spans="1:13" ht="15.75">
      <c r="A202" s="6"/>
      <c r="B202" s="6"/>
      <c r="C202" s="6"/>
      <c r="D202" s="6"/>
      <c r="E202" s="22"/>
      <c r="F202" s="22"/>
      <c r="G202" s="22"/>
      <c r="H202" s="102"/>
      <c r="I202" s="22"/>
      <c r="J202" s="22"/>
      <c r="K202" s="102"/>
      <c r="L202" s="6"/>
      <c r="M202" s="216"/>
    </row>
    <row r="203" spans="1:13" ht="15.75">
      <c r="A203" s="6"/>
      <c r="B203" s="6"/>
      <c r="C203" s="6"/>
      <c r="D203" s="6"/>
      <c r="E203" s="22"/>
      <c r="F203" s="22"/>
      <c r="G203" s="22"/>
      <c r="H203" s="102"/>
      <c r="I203" s="22"/>
      <c r="J203" s="22"/>
      <c r="K203" s="102"/>
      <c r="L203" s="6"/>
      <c r="M203" s="216"/>
    </row>
    <row r="204" spans="1:13" ht="15.75">
      <c r="A204" s="6"/>
      <c r="B204" s="6"/>
      <c r="C204" s="6"/>
      <c r="D204" s="6"/>
      <c r="E204" s="22"/>
      <c r="F204" s="22"/>
      <c r="G204" s="22"/>
      <c r="H204" s="102"/>
      <c r="I204" s="22"/>
      <c r="J204" s="22"/>
      <c r="K204" s="102"/>
      <c r="L204" s="6"/>
      <c r="M204" s="216"/>
    </row>
    <row r="205" spans="1:13" ht="15.75">
      <c r="A205" s="6"/>
      <c r="B205" s="6"/>
      <c r="C205" s="6"/>
      <c r="D205" s="6"/>
      <c r="E205" s="22"/>
      <c r="F205" s="22"/>
      <c r="G205" s="22"/>
      <c r="H205" s="102"/>
      <c r="I205" s="22"/>
      <c r="J205" s="22"/>
      <c r="K205" s="102"/>
      <c r="L205" s="6"/>
      <c r="M205" s="216"/>
    </row>
    <row r="206" spans="1:13" ht="15.75">
      <c r="A206" s="6"/>
      <c r="B206" s="6"/>
      <c r="C206" s="6"/>
      <c r="D206" s="6"/>
      <c r="E206" s="22"/>
      <c r="F206" s="22"/>
      <c r="G206" s="22"/>
      <c r="H206" s="102"/>
      <c r="I206" s="22"/>
      <c r="J206" s="22"/>
      <c r="K206" s="102"/>
      <c r="L206" s="6"/>
      <c r="M206" s="216"/>
    </row>
    <row r="207" spans="1:13" ht="15.75">
      <c r="A207" s="6"/>
      <c r="B207" s="6"/>
      <c r="C207" s="6"/>
      <c r="D207" s="6"/>
      <c r="E207" s="22"/>
      <c r="F207" s="22"/>
      <c r="G207" s="22"/>
      <c r="H207" s="102"/>
      <c r="I207" s="22"/>
      <c r="J207" s="22"/>
      <c r="K207" s="102"/>
      <c r="L207" s="6"/>
      <c r="M207" s="216"/>
    </row>
    <row r="208" spans="5:11" ht="15.75">
      <c r="E208" s="11"/>
      <c r="F208" s="11"/>
      <c r="G208" s="11"/>
      <c r="H208" s="47"/>
      <c r="I208" s="16"/>
      <c r="J208" s="11"/>
      <c r="K208" s="47"/>
    </row>
    <row r="209" spans="5:11" ht="15.75">
      <c r="E209" s="11"/>
      <c r="F209" s="11"/>
      <c r="G209" s="11"/>
      <c r="H209" s="47"/>
      <c r="I209" s="16"/>
      <c r="J209" s="11"/>
      <c r="K209" s="47"/>
    </row>
    <row r="210" spans="5:11" ht="15.75">
      <c r="E210" s="11"/>
      <c r="F210" s="11"/>
      <c r="G210" s="11"/>
      <c r="H210" s="47"/>
      <c r="I210" s="16"/>
      <c r="J210" s="11"/>
      <c r="K210" s="47"/>
    </row>
    <row r="211" spans="5:11" ht="15.75">
      <c r="E211" s="11"/>
      <c r="F211" s="11"/>
      <c r="G211" s="11"/>
      <c r="H211" s="47"/>
      <c r="I211" s="16"/>
      <c r="J211" s="11"/>
      <c r="K211" s="47"/>
    </row>
    <row r="212" spans="5:11" ht="15.75">
      <c r="E212" s="11"/>
      <c r="F212" s="11"/>
      <c r="G212" s="11"/>
      <c r="H212" s="47"/>
      <c r="I212" s="16"/>
      <c r="J212" s="11"/>
      <c r="K212" s="47"/>
    </row>
    <row r="213" spans="5:11" ht="15.75">
      <c r="E213" s="11"/>
      <c r="F213" s="11"/>
      <c r="G213" s="11"/>
      <c r="H213" s="47"/>
      <c r="I213" s="16"/>
      <c r="J213" s="11"/>
      <c r="K213" s="47"/>
    </row>
    <row r="214" spans="5:11" ht="15.75">
      <c r="E214" s="11"/>
      <c r="F214" s="11"/>
      <c r="G214" s="11"/>
      <c r="H214" s="47"/>
      <c r="I214" s="16"/>
      <c r="J214" s="11"/>
      <c r="K214" s="47"/>
    </row>
    <row r="215" spans="5:11" ht="15.75">
      <c r="E215" s="11"/>
      <c r="F215" s="11"/>
      <c r="G215" s="11"/>
      <c r="H215" s="47"/>
      <c r="I215" s="16"/>
      <c r="J215" s="11"/>
      <c r="K215" s="47"/>
    </row>
    <row r="216" spans="5:11" ht="15.75">
      <c r="E216" s="11"/>
      <c r="F216" s="11"/>
      <c r="G216" s="11"/>
      <c r="H216" s="47"/>
      <c r="I216" s="16"/>
      <c r="J216" s="11"/>
      <c r="K216" s="47"/>
    </row>
    <row r="217" spans="5:11" ht="15.75">
      <c r="E217" s="11"/>
      <c r="F217" s="11"/>
      <c r="G217" s="11"/>
      <c r="H217" s="47"/>
      <c r="I217" s="16"/>
      <c r="J217" s="11"/>
      <c r="K217" s="47"/>
    </row>
    <row r="218" spans="5:11" ht="15.75">
      <c r="E218" s="11"/>
      <c r="F218" s="11"/>
      <c r="G218" s="11"/>
      <c r="H218" s="47"/>
      <c r="I218" s="16"/>
      <c r="J218" s="11"/>
      <c r="K218" s="47"/>
    </row>
    <row r="219" spans="5:11" ht="15.75">
      <c r="E219" s="11"/>
      <c r="F219" s="11"/>
      <c r="G219" s="11"/>
      <c r="H219" s="47"/>
      <c r="I219" s="16"/>
      <c r="J219" s="11"/>
      <c r="K219" s="47"/>
    </row>
    <row r="220" spans="5:11" ht="15.75">
      <c r="E220" s="11"/>
      <c r="F220" s="11"/>
      <c r="G220" s="11"/>
      <c r="H220" s="47"/>
      <c r="I220" s="16"/>
      <c r="J220" s="11"/>
      <c r="K220" s="47"/>
    </row>
    <row r="221" spans="5:11" ht="15.75">
      <c r="E221" s="11"/>
      <c r="F221" s="11"/>
      <c r="G221" s="11"/>
      <c r="H221" s="47"/>
      <c r="I221" s="16"/>
      <c r="J221" s="11"/>
      <c r="K221" s="47"/>
    </row>
    <row r="222" spans="5:11" ht="15.75">
      <c r="E222" s="11"/>
      <c r="F222" s="11"/>
      <c r="G222" s="11"/>
      <c r="H222" s="47"/>
      <c r="I222" s="16"/>
      <c r="J222" s="11"/>
      <c r="K222" s="47"/>
    </row>
    <row r="223" spans="5:11" ht="15.75">
      <c r="E223" s="11"/>
      <c r="F223" s="11"/>
      <c r="G223" s="11"/>
      <c r="H223" s="47"/>
      <c r="I223" s="16"/>
      <c r="J223" s="11"/>
      <c r="K223" s="47"/>
    </row>
    <row r="224" spans="5:11" ht="15.75">
      <c r="E224" s="11"/>
      <c r="F224" s="11"/>
      <c r="G224" s="11"/>
      <c r="H224" s="47"/>
      <c r="I224" s="16"/>
      <c r="J224" s="11"/>
      <c r="K224" s="47"/>
    </row>
    <row r="225" spans="5:11" ht="15.75">
      <c r="E225" s="11"/>
      <c r="F225" s="11"/>
      <c r="G225" s="11"/>
      <c r="H225" s="47"/>
      <c r="I225" s="16"/>
      <c r="J225" s="11"/>
      <c r="K225" s="47"/>
    </row>
    <row r="1104" ht="15.75">
      <c r="I1104" s="161"/>
    </row>
    <row r="1105" spans="7:9" ht="15.75">
      <c r="G1105" s="161"/>
      <c r="I1105" s="161"/>
    </row>
    <row r="1106" ht="15.75">
      <c r="I1106" s="161"/>
    </row>
    <row r="1107" ht="15.75">
      <c r="I1107" s="161"/>
    </row>
    <row r="1108" ht="15.75">
      <c r="I1108" s="161"/>
    </row>
    <row r="1109" ht="15.75">
      <c r="I1109" s="161"/>
    </row>
  </sheetData>
  <sheetProtection/>
  <mergeCells count="35">
    <mergeCell ref="B90:C90"/>
    <mergeCell ref="B78:C78"/>
    <mergeCell ref="B36:C36"/>
    <mergeCell ref="B57:C57"/>
    <mergeCell ref="B41:C41"/>
    <mergeCell ref="B52:C52"/>
    <mergeCell ref="B74:C74"/>
    <mergeCell ref="B68:C68"/>
    <mergeCell ref="B63:C63"/>
    <mergeCell ref="B84:C84"/>
    <mergeCell ref="G5:G7"/>
    <mergeCell ref="D5:D7"/>
    <mergeCell ref="B46:C46"/>
    <mergeCell ref="B32:C32"/>
    <mergeCell ref="B25:C25"/>
    <mergeCell ref="B12:C12"/>
    <mergeCell ref="B19:C19"/>
    <mergeCell ref="A1:L1"/>
    <mergeCell ref="A2:L2"/>
    <mergeCell ref="A3:L3"/>
    <mergeCell ref="A5:A7"/>
    <mergeCell ref="B5:B7"/>
    <mergeCell ref="E5:E7"/>
    <mergeCell ref="H5:H7"/>
    <mergeCell ref="C5:C7"/>
    <mergeCell ref="I5:I7"/>
    <mergeCell ref="J6:K6"/>
    <mergeCell ref="E154:F154"/>
    <mergeCell ref="E155:F155"/>
    <mergeCell ref="B96:C96"/>
    <mergeCell ref="B101:C101"/>
    <mergeCell ref="B107:C107"/>
    <mergeCell ref="B112:C112"/>
    <mergeCell ref="B117:C117"/>
    <mergeCell ref="B122:C122"/>
  </mergeCells>
  <printOptions/>
  <pageMargins left="0.22" right="0.17" top="0.31" bottom="0.1" header="0.17" footer="0.17"/>
  <pageSetup horizontalDpi="600" verticalDpi="600" orientation="portrait" paperSize="9" scale="70" r:id="rId1"/>
  <colBreaks count="1" manualBreakCount="1">
    <brk id="13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5050"/>
  </sheetPr>
  <dimension ref="A1:Q218"/>
  <sheetViews>
    <sheetView zoomScalePageLayoutView="0" workbookViewId="0" topLeftCell="A1">
      <selection activeCell="M206" sqref="A1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7" width="12.57421875" style="0" customWidth="1"/>
    <col min="8" max="8" width="11.7109375" style="0" customWidth="1"/>
    <col min="9" max="9" width="12.57421875" style="0" customWidth="1"/>
    <col min="10" max="10" width="11.28125" style="0" customWidth="1"/>
    <col min="11" max="11" width="12.28125" style="0" customWidth="1"/>
    <col min="12" max="12" width="9.7109375" style="0" customWidth="1"/>
    <col min="13" max="13" width="14.28125" style="0" customWidth="1"/>
    <col min="14" max="14" width="11.28125" style="217" bestFit="1" customWidth="1"/>
    <col min="15" max="15" width="14.00390625" style="194" bestFit="1" customWidth="1"/>
    <col min="16" max="16" width="16.28125" style="194" customWidth="1"/>
    <col min="17" max="17" width="15.00390625" style="0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81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45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46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610000</v>
      </c>
      <c r="H10" s="203">
        <f aca="true" t="shared" si="0" ref="H10:M10">H12+H18+H23+H29+H39+H45+H55+H61+H66+H73+H80+H87+H93+H99+H109+H114+H120+H125+H130+H137+H143+H148+H158+H164+H169+H175+H181+H186+H193</f>
        <v>645000</v>
      </c>
      <c r="I10" s="203">
        <f t="shared" si="0"/>
        <v>330000</v>
      </c>
      <c r="J10" s="203">
        <f t="shared" si="0"/>
        <v>565000</v>
      </c>
      <c r="K10" s="203">
        <f t="shared" si="0"/>
        <v>0</v>
      </c>
      <c r="L10" s="203">
        <f t="shared" si="0"/>
        <v>0</v>
      </c>
      <c r="M10" s="208">
        <f t="shared" si="0"/>
        <v>565000</v>
      </c>
    </row>
    <row r="11" spans="1:13" ht="17.25" hidden="1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  <c r="N18" s="218"/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/>
      <c r="H21" s="96"/>
      <c r="I21" s="96"/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3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/>
      <c r="H42" s="95"/>
      <c r="I42" s="95"/>
      <c r="J42" s="242"/>
      <c r="K42" s="95"/>
      <c r="L42" s="100"/>
      <c r="M42" s="98"/>
    </row>
    <row r="43" spans="1:15" ht="15.75" hidden="1">
      <c r="A43" s="64"/>
      <c r="B43" s="65"/>
      <c r="C43" s="23"/>
      <c r="D43" s="23"/>
      <c r="E43" s="14">
        <v>13</v>
      </c>
      <c r="F43" s="14"/>
      <c r="G43" s="96"/>
      <c r="H43" s="96"/>
      <c r="I43" s="96"/>
      <c r="J43" s="243"/>
      <c r="K43" s="96"/>
      <c r="L43" s="107"/>
      <c r="M43" s="196"/>
      <c r="O43" s="194">
        <f>72525025.4/1000</f>
        <v>72525.02540000001</v>
      </c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4</v>
      </c>
      <c r="C45" s="22"/>
      <c r="D45" s="22"/>
      <c r="E45" s="11"/>
      <c r="F45" s="4" t="s">
        <v>65</v>
      </c>
      <c r="G45" s="109">
        <f aca="true" t="shared" si="6" ref="G45:K46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/>
      <c r="H47" s="95"/>
      <c r="I47" s="95"/>
      <c r="J47" s="242"/>
      <c r="K47" s="95"/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>
        <v>0</v>
      </c>
      <c r="H48" s="96">
        <v>0</v>
      </c>
      <c r="I48" s="96">
        <v>0</v>
      </c>
      <c r="J48" s="243"/>
      <c r="K48" s="96"/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3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>J56</f>
        <v>0</v>
      </c>
      <c r="K55" s="109">
        <f>K56</f>
        <v>0</v>
      </c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>
        <f>K57</f>
        <v>0</v>
      </c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>
        <f>G58+G59</f>
        <v>0</v>
      </c>
      <c r="H57" s="95">
        <f>H58+H59</f>
        <v>0</v>
      </c>
      <c r="I57" s="95">
        <f>I58+I59</f>
        <v>0</v>
      </c>
      <c r="J57" s="242">
        <f>J58+J59</f>
        <v>0</v>
      </c>
      <c r="K57" s="95">
        <f>K58+K59</f>
        <v>0</v>
      </c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/>
      <c r="H58" s="95"/>
      <c r="I58" s="95"/>
      <c r="J58" s="242"/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/>
      <c r="H59" s="96"/>
      <c r="I59" s="96"/>
      <c r="J59" s="243"/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4</v>
      </c>
      <c r="C61" s="22"/>
      <c r="D61" s="22"/>
      <c r="E61" s="11"/>
      <c r="F61" s="4" t="s">
        <v>24</v>
      </c>
      <c r="G61" s="109">
        <f aca="true" t="shared" si="8" ref="G61:K63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>G63</f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>
        <f>G64</f>
        <v>0</v>
      </c>
      <c r="H63" s="95">
        <f t="shared" si="8"/>
        <v>0</v>
      </c>
      <c r="I63" s="95">
        <f t="shared" si="8"/>
        <v>0</v>
      </c>
      <c r="J63" s="242">
        <f>J64</f>
        <v>0</v>
      </c>
      <c r="K63" s="95">
        <f t="shared" si="8"/>
        <v>0</v>
      </c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/>
      <c r="H64" s="96"/>
      <c r="I64" s="96"/>
      <c r="J64" s="243"/>
      <c r="K64" s="96"/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7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6" ht="15.75" hidden="1">
      <c r="A76" s="24"/>
      <c r="B76" s="62"/>
      <c r="C76" s="26"/>
      <c r="D76" s="26"/>
      <c r="E76" s="11">
        <v>12</v>
      </c>
      <c r="F76" s="11"/>
      <c r="G76" s="95"/>
      <c r="H76" s="95"/>
      <c r="I76" s="95"/>
      <c r="J76" s="242"/>
      <c r="K76" s="95"/>
      <c r="L76" s="95"/>
      <c r="M76" s="98">
        <f t="shared" si="10"/>
        <v>0</v>
      </c>
      <c r="O76" s="194">
        <f>462402906.49/1000</f>
        <v>462402.90649</v>
      </c>
      <c r="P76" s="194">
        <f>147810034.24/1000</f>
        <v>147810.03424</v>
      </c>
    </row>
    <row r="77" spans="1:16" ht="15.75" hidden="1">
      <c r="A77" s="24"/>
      <c r="B77" s="62"/>
      <c r="C77" s="26"/>
      <c r="D77" s="26"/>
      <c r="E77" s="11">
        <v>14</v>
      </c>
      <c r="F77" s="11"/>
      <c r="G77" s="95"/>
      <c r="H77" s="95"/>
      <c r="I77" s="95"/>
      <c r="J77" s="242"/>
      <c r="K77" s="95"/>
      <c r="L77" s="95"/>
      <c r="M77" s="98">
        <f t="shared" si="10"/>
        <v>0</v>
      </c>
      <c r="O77" s="194">
        <f>2988660.02/1000</f>
        <v>2988.66002</v>
      </c>
      <c r="P77" s="194">
        <f>3892446.5/1000</f>
        <v>3892.4465</v>
      </c>
    </row>
    <row r="78" spans="1:17" ht="15.75" hidden="1">
      <c r="A78" s="64"/>
      <c r="B78" s="65"/>
      <c r="C78" s="23"/>
      <c r="D78" s="23"/>
      <c r="E78" s="14">
        <v>17</v>
      </c>
      <c r="F78" s="14"/>
      <c r="G78" s="96"/>
      <c r="H78" s="96"/>
      <c r="I78" s="96"/>
      <c r="J78" s="243"/>
      <c r="K78" s="107"/>
      <c r="L78" s="107"/>
      <c r="M78" s="196">
        <f t="shared" si="10"/>
        <v>0</v>
      </c>
      <c r="O78" s="194">
        <f>50307236.93/1000</f>
        <v>50307.23693</v>
      </c>
      <c r="P78" s="194">
        <f>15896585.8/1000</f>
        <v>15896.5858</v>
      </c>
      <c r="Q78" s="194"/>
    </row>
    <row r="79" spans="1:14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 hidden="1">
      <c r="A80" s="24"/>
      <c r="B80" s="62">
        <v>8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7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  <c r="O83" s="194">
        <f>586548956.02/1000</f>
        <v>586548.9560199999</v>
      </c>
      <c r="P83" s="194">
        <f>64824015.01/1000</f>
        <v>64824.015009999996</v>
      </c>
      <c r="Q83" s="194"/>
    </row>
    <row r="84" spans="1:16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  <c r="O84" s="194">
        <f>13819901.67/1000</f>
        <v>13819.90167</v>
      </c>
      <c r="P84" s="194">
        <f>4060189.37/1000</f>
        <v>4060.18937</v>
      </c>
    </row>
    <row r="85" spans="1:16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  <c r="N85" s="194">
        <f>(97880000+7700000)/1000</f>
        <v>105580</v>
      </c>
      <c r="O85" s="194">
        <f>74966201.95/1000</f>
        <v>74966.20195</v>
      </c>
      <c r="P85" s="194">
        <f>18093620.97/1000</f>
        <v>18093.62097</v>
      </c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9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7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  <c r="O90" s="194">
        <f>1117250988.01/1000</f>
        <v>1117250.98801</v>
      </c>
      <c r="P90" s="194">
        <f>517822407.17/1000</f>
        <v>517822.40717</v>
      </c>
      <c r="Q90" s="194"/>
    </row>
    <row r="91" spans="1:16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  <c r="O91" s="194">
        <f>118187217.7/1000</f>
        <v>118187.21770000001</v>
      </c>
      <c r="P91" s="194">
        <f>74957202.59/1000</f>
        <v>74957.20259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10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7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  <c r="O96" s="194">
        <f>512801720.89/1000</f>
        <v>512801.72089</v>
      </c>
      <c r="P96" s="194">
        <f>318563378.21/1000</f>
        <v>318563.37821</v>
      </c>
      <c r="Q96" s="220"/>
    </row>
    <row r="97" spans="1:16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  <c r="O97" s="194">
        <f>125494063.56/1000</f>
        <v>125494.06356000001</v>
      </c>
      <c r="P97" s="194">
        <f>73525587.12/1000</f>
        <v>73525.58712000001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3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4</v>
      </c>
      <c r="C109" s="22"/>
      <c r="D109" s="22"/>
      <c r="E109" s="11"/>
      <c r="F109" s="4" t="s">
        <v>65</v>
      </c>
      <c r="G109" s="109">
        <f aca="true" t="shared" si="16" ref="G109:K111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>
        <f>G112</f>
        <v>0</v>
      </c>
      <c r="H111" s="95">
        <f t="shared" si="16"/>
        <v>0</v>
      </c>
      <c r="I111" s="95">
        <f t="shared" si="16"/>
        <v>0</v>
      </c>
      <c r="J111" s="242">
        <f>J112</f>
        <v>0</v>
      </c>
      <c r="K111" s="95">
        <f t="shared" si="16"/>
        <v>0</v>
      </c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3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4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196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6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6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  <c r="O133" s="194">
        <f>267382507.32/1000</f>
        <v>267382.50732</v>
      </c>
      <c r="P133" s="194">
        <f>10329470.82/1000</f>
        <v>10329.47082</v>
      </c>
    </row>
    <row r="134" spans="1:16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  <c r="O134" s="194">
        <f>8704563.05/1000</f>
        <v>8704.56305</v>
      </c>
      <c r="P134" s="194">
        <f>3612975.22/1000</f>
        <v>3612.9752200000003</v>
      </c>
    </row>
    <row r="135" spans="1:16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  <c r="O135" s="194">
        <f>30204323.79/1000</f>
        <v>30204.32379</v>
      </c>
      <c r="P135" s="194">
        <f>2797083.83/1000</f>
        <v>2797.08383</v>
      </c>
    </row>
    <row r="136" spans="1:13" ht="15.75">
      <c r="A136" s="24"/>
      <c r="B136" s="62"/>
      <c r="C136" s="22"/>
      <c r="D136" s="22"/>
      <c r="E136" s="11"/>
      <c r="F136" s="18" t="s">
        <v>51</v>
      </c>
      <c r="G136" s="95"/>
      <c r="H136" s="95"/>
      <c r="I136" s="95"/>
      <c r="J136" s="242"/>
      <c r="K136" s="104"/>
      <c r="L136" s="104"/>
      <c r="M136" s="198"/>
    </row>
    <row r="137" spans="1:13" ht="78.75">
      <c r="A137" s="24"/>
      <c r="B137" s="62">
        <v>3</v>
      </c>
      <c r="C137" s="22"/>
      <c r="D137" s="22"/>
      <c r="E137" s="22"/>
      <c r="F137" s="99" t="s">
        <v>64</v>
      </c>
      <c r="G137" s="109">
        <f aca="true" t="shared" si="21" ref="G137:J138">G138</f>
        <v>245000</v>
      </c>
      <c r="H137" s="109">
        <f t="shared" si="21"/>
        <v>285000</v>
      </c>
      <c r="I137" s="109">
        <f t="shared" si="21"/>
        <v>130000</v>
      </c>
      <c r="J137" s="240">
        <f t="shared" si="21"/>
        <v>90000</v>
      </c>
      <c r="K137" s="109"/>
      <c r="L137" s="94"/>
      <c r="M137" s="114">
        <f>J137+K137+L137</f>
        <v>90000</v>
      </c>
    </row>
    <row r="138" spans="1:13" ht="15.75">
      <c r="A138" s="24"/>
      <c r="B138" s="62"/>
      <c r="C138" s="22"/>
      <c r="D138" s="22"/>
      <c r="E138" s="11"/>
      <c r="F138" s="8" t="s">
        <v>9</v>
      </c>
      <c r="G138" s="94">
        <f t="shared" si="21"/>
        <v>245000</v>
      </c>
      <c r="H138" s="94">
        <f t="shared" si="21"/>
        <v>285000</v>
      </c>
      <c r="I138" s="94">
        <f t="shared" si="21"/>
        <v>130000</v>
      </c>
      <c r="J138" s="241">
        <f t="shared" si="21"/>
        <v>90000</v>
      </c>
      <c r="K138" s="94"/>
      <c r="L138" s="94"/>
      <c r="M138" s="97">
        <f>J138+K138+L138</f>
        <v>90000</v>
      </c>
    </row>
    <row r="139" spans="1:13" ht="15.75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245000</v>
      </c>
      <c r="H139" s="95">
        <f>H140+H141</f>
        <v>285000</v>
      </c>
      <c r="I139" s="95">
        <f>I140+I141</f>
        <v>130000</v>
      </c>
      <c r="J139" s="242">
        <f>J140+J141</f>
        <v>90000</v>
      </c>
      <c r="K139" s="95"/>
      <c r="L139" s="95"/>
      <c r="M139" s="98">
        <f>J139+K139+L139</f>
        <v>90000</v>
      </c>
    </row>
    <row r="140" spans="1:15" ht="15.75">
      <c r="A140" s="24"/>
      <c r="B140" s="62"/>
      <c r="C140" s="22"/>
      <c r="D140" s="22"/>
      <c r="E140" s="11">
        <v>12</v>
      </c>
      <c r="F140" s="11"/>
      <c r="G140" s="95">
        <v>166000</v>
      </c>
      <c r="H140" s="95">
        <v>170000</v>
      </c>
      <c r="I140" s="95">
        <v>61000</v>
      </c>
      <c r="J140" s="242">
        <v>90000</v>
      </c>
      <c r="K140" s="95"/>
      <c r="L140" s="100"/>
      <c r="M140" s="98">
        <f>J140+K140+L140</f>
        <v>90000</v>
      </c>
      <c r="O140" s="194">
        <f>90*1000000</f>
        <v>90000000</v>
      </c>
    </row>
    <row r="141" spans="1:15" ht="15.75">
      <c r="A141" s="64"/>
      <c r="B141" s="65"/>
      <c r="C141" s="23"/>
      <c r="D141" s="23"/>
      <c r="E141" s="14">
        <v>13</v>
      </c>
      <c r="F141" s="14"/>
      <c r="G141" s="96">
        <v>79000</v>
      </c>
      <c r="H141" s="96">
        <v>115000</v>
      </c>
      <c r="I141" s="96">
        <v>69000</v>
      </c>
      <c r="J141" s="347">
        <v>0</v>
      </c>
      <c r="K141" s="96"/>
      <c r="L141" s="107"/>
      <c r="M141" s="366">
        <f>J141+K141+L141</f>
        <v>0</v>
      </c>
      <c r="O141" s="194">
        <f>O140/1000</f>
        <v>90000</v>
      </c>
    </row>
    <row r="142" spans="1:13" ht="15.75">
      <c r="A142" s="24"/>
      <c r="B142" s="62"/>
      <c r="C142" s="22"/>
      <c r="D142" s="22"/>
      <c r="E142" s="11"/>
      <c r="F142" s="18" t="s">
        <v>51</v>
      </c>
      <c r="G142" s="95"/>
      <c r="H142" s="95"/>
      <c r="I142" s="95"/>
      <c r="J142" s="242"/>
      <c r="K142" s="95"/>
      <c r="L142" s="104"/>
      <c r="M142" s="98"/>
    </row>
    <row r="143" spans="1:13" ht="36.75" customHeight="1">
      <c r="A143" s="24"/>
      <c r="B143" s="62">
        <v>4</v>
      </c>
      <c r="C143" s="22"/>
      <c r="D143" s="22"/>
      <c r="E143" s="11"/>
      <c r="F143" s="4" t="s">
        <v>65</v>
      </c>
      <c r="G143" s="109">
        <f aca="true" t="shared" si="22" ref="G143:K145">G144</f>
        <v>365000</v>
      </c>
      <c r="H143" s="109">
        <f t="shared" si="22"/>
        <v>360000</v>
      </c>
      <c r="I143" s="109">
        <f t="shared" si="22"/>
        <v>200000</v>
      </c>
      <c r="J143" s="377">
        <f t="shared" si="22"/>
        <v>475000</v>
      </c>
      <c r="K143" s="376">
        <f t="shared" si="22"/>
        <v>0</v>
      </c>
      <c r="L143" s="95"/>
      <c r="M143" s="367">
        <f>J143+K143+L143</f>
        <v>475000</v>
      </c>
    </row>
    <row r="144" spans="1:13" ht="15.75">
      <c r="A144" s="24"/>
      <c r="B144" s="62"/>
      <c r="C144" s="22"/>
      <c r="D144" s="22"/>
      <c r="E144" s="11"/>
      <c r="F144" s="8" t="s">
        <v>9</v>
      </c>
      <c r="G144" s="94">
        <f t="shared" si="22"/>
        <v>365000</v>
      </c>
      <c r="H144" s="94">
        <f t="shared" si="22"/>
        <v>360000</v>
      </c>
      <c r="I144" s="94">
        <f t="shared" si="22"/>
        <v>200000</v>
      </c>
      <c r="J144" s="378">
        <f t="shared" si="22"/>
        <v>475000</v>
      </c>
      <c r="K144" s="363">
        <f t="shared" si="22"/>
        <v>0</v>
      </c>
      <c r="L144" s="94"/>
      <c r="M144" s="368">
        <f>J144+K144+L144</f>
        <v>475000</v>
      </c>
    </row>
    <row r="145" spans="1:13" ht="15.75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365000</v>
      </c>
      <c r="H145" s="95">
        <f t="shared" si="22"/>
        <v>360000</v>
      </c>
      <c r="I145" s="95">
        <f>I146</f>
        <v>200000</v>
      </c>
      <c r="J145" s="379">
        <f>J146</f>
        <v>475000</v>
      </c>
      <c r="K145" s="100">
        <f t="shared" si="22"/>
        <v>0</v>
      </c>
      <c r="L145" s="95"/>
      <c r="M145" s="369">
        <f>J145+K145+L145</f>
        <v>475000</v>
      </c>
    </row>
    <row r="146" spans="1:13" ht="17.25" customHeight="1">
      <c r="A146" s="64"/>
      <c r="B146" s="65"/>
      <c r="C146" s="23"/>
      <c r="D146" s="23"/>
      <c r="E146" s="14">
        <v>12</v>
      </c>
      <c r="F146" s="14"/>
      <c r="G146" s="96">
        <v>365000</v>
      </c>
      <c r="H146" s="96">
        <v>360000</v>
      </c>
      <c r="I146" s="96">
        <v>200000</v>
      </c>
      <c r="J146" s="380">
        <v>475000</v>
      </c>
      <c r="K146" s="96"/>
      <c r="L146" s="107"/>
      <c r="M146" s="369">
        <f>J146+K146+L146</f>
        <v>475000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 aca="true" t="shared" si="27" ref="G198:M198">G19+G13+G24+G30+G40+G46+G56+G62+G67+G74+G81+G88+G94+G100+G110+G115+G121+G126+G131+G138+G144+G149+G159+G165+G170+G176+G182+G187+G194+G35</f>
        <v>610000</v>
      </c>
      <c r="H198" s="251">
        <f t="shared" si="27"/>
        <v>645000</v>
      </c>
      <c r="I198" s="251">
        <f t="shared" si="27"/>
        <v>330000</v>
      </c>
      <c r="J198" s="251">
        <f t="shared" si="27"/>
        <v>565000</v>
      </c>
      <c r="K198" s="251">
        <f t="shared" si="27"/>
        <v>0</v>
      </c>
      <c r="L198" s="251">
        <f t="shared" si="27"/>
        <v>0</v>
      </c>
      <c r="M198" s="252">
        <f t="shared" si="27"/>
        <v>565000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3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610000</v>
      </c>
      <c r="H200" s="245">
        <f aca="true" t="shared" si="28" ref="H200:M200">H12+H18+H23+H29+H39+H45+H55+H61+H66+H73+H80+H87+H93+H99+H109+H114+H120+H125+H130+H137+H143+H148+H158+H164+H169+H175+H181+H186+H193</f>
        <v>645000</v>
      </c>
      <c r="I200" s="245">
        <f t="shared" si="28"/>
        <v>330000</v>
      </c>
      <c r="J200" s="245">
        <f t="shared" si="28"/>
        <v>565000</v>
      </c>
      <c r="K200" s="245">
        <f t="shared" si="28"/>
        <v>0</v>
      </c>
      <c r="L200" s="245">
        <f t="shared" si="28"/>
        <v>0</v>
      </c>
      <c r="M200" s="246">
        <f t="shared" si="28"/>
        <v>565000</v>
      </c>
    </row>
    <row r="201" spans="1:13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v>0</v>
      </c>
      <c r="H202" s="12">
        <v>0</v>
      </c>
      <c r="I202" s="12">
        <v>0</v>
      </c>
      <c r="J202" s="259">
        <v>0</v>
      </c>
      <c r="K202" s="12">
        <v>0</v>
      </c>
      <c r="L202" s="12">
        <v>0</v>
      </c>
      <c r="M202" s="81">
        <v>0</v>
      </c>
    </row>
    <row r="203" spans="1:13" ht="15.75">
      <c r="A203" s="24"/>
      <c r="B203" s="7"/>
      <c r="C203" s="8" t="s">
        <v>16</v>
      </c>
      <c r="D203" s="8"/>
      <c r="E203" s="8"/>
      <c r="F203" s="8"/>
      <c r="G203" s="9">
        <f aca="true" t="shared" si="30" ref="G203:M203">G204+G205+G206</f>
        <v>610000</v>
      </c>
      <c r="H203" s="9">
        <f t="shared" si="30"/>
        <v>645000</v>
      </c>
      <c r="I203" s="9">
        <f t="shared" si="30"/>
        <v>330000</v>
      </c>
      <c r="J203" s="238">
        <f t="shared" si="30"/>
        <v>565000</v>
      </c>
      <c r="K203" s="9">
        <f t="shared" si="30"/>
        <v>0</v>
      </c>
      <c r="L203" s="9">
        <f t="shared" si="30"/>
        <v>0</v>
      </c>
      <c r="M203" s="83">
        <f t="shared" si="30"/>
        <v>565000</v>
      </c>
    </row>
    <row r="204" spans="1:13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1" ref="G204:M204">G15+G21+G26+G32+G42+G48+G58+G64+G76+G83+G90+G96+G102+G112+G117+G123+G133+G140+G146+G161+G167+G172+G178+G189+G196+G69+G128+G151+G184+G36</f>
        <v>531000</v>
      </c>
      <c r="H204" s="12">
        <f t="shared" si="31"/>
        <v>530000</v>
      </c>
      <c r="I204" s="12">
        <f t="shared" si="31"/>
        <v>261000</v>
      </c>
      <c r="J204" s="232">
        <f t="shared" si="31"/>
        <v>565000</v>
      </c>
      <c r="K204" s="12">
        <f t="shared" si="31"/>
        <v>0</v>
      </c>
      <c r="L204" s="12">
        <f t="shared" si="31"/>
        <v>0</v>
      </c>
      <c r="M204" s="81">
        <f t="shared" si="31"/>
        <v>565000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2" ref="G205:M205">G16+G27+G43+G59+G103+G118+G141+G162+G179</f>
        <v>79000</v>
      </c>
      <c r="H205" s="12">
        <f t="shared" si="32"/>
        <v>115000</v>
      </c>
      <c r="I205" s="12">
        <f t="shared" si="32"/>
        <v>69000</v>
      </c>
      <c r="J205" s="259">
        <f t="shared" si="32"/>
        <v>0</v>
      </c>
      <c r="K205" s="12">
        <f t="shared" si="32"/>
        <v>0</v>
      </c>
      <c r="L205" s="12">
        <f t="shared" si="32"/>
        <v>0</v>
      </c>
      <c r="M205" s="81">
        <f t="shared" si="32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3" ref="G206:M206">G70+G77+G84+G134+G190</f>
        <v>0</v>
      </c>
      <c r="H206" s="15">
        <f t="shared" si="33"/>
        <v>0</v>
      </c>
      <c r="I206" s="15">
        <f t="shared" si="33"/>
        <v>0</v>
      </c>
      <c r="J206" s="260">
        <f t="shared" si="33"/>
        <v>0</v>
      </c>
      <c r="K206" s="15">
        <f t="shared" si="33"/>
        <v>0</v>
      </c>
      <c r="L206" s="15">
        <f t="shared" si="33"/>
        <v>0</v>
      </c>
      <c r="M206" s="84">
        <f t="shared" si="33"/>
        <v>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 aca="true" t="shared" si="34" ref="G208:M208">G10-G198</f>
        <v>0</v>
      </c>
      <c r="H208" s="12">
        <f t="shared" si="34"/>
        <v>0</v>
      </c>
      <c r="I208" s="12">
        <f t="shared" si="34"/>
        <v>0</v>
      </c>
      <c r="J208" s="12">
        <f t="shared" si="34"/>
        <v>0</v>
      </c>
      <c r="K208" s="12">
        <f t="shared" si="34"/>
        <v>0</v>
      </c>
      <c r="L208" s="12">
        <f t="shared" si="34"/>
        <v>0</v>
      </c>
      <c r="M208" s="12">
        <f t="shared" si="34"/>
        <v>0</v>
      </c>
    </row>
    <row r="209" spans="1:15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5" ref="H209:M209">H198-H200</f>
        <v>0</v>
      </c>
      <c r="I209" s="12">
        <f t="shared" si="35"/>
        <v>0</v>
      </c>
      <c r="J209" s="12">
        <f t="shared" si="35"/>
        <v>0</v>
      </c>
      <c r="K209" s="12">
        <f t="shared" si="35"/>
        <v>0</v>
      </c>
      <c r="L209" s="12">
        <f t="shared" si="35"/>
        <v>0</v>
      </c>
      <c r="M209" s="12">
        <f t="shared" si="35"/>
        <v>0</v>
      </c>
      <c r="N209"/>
      <c r="O209"/>
    </row>
    <row r="210" spans="7:15" ht="12.75">
      <c r="G210" s="123">
        <f aca="true" t="shared" si="36" ref="G210:M210">G200-G10</f>
        <v>0</v>
      </c>
      <c r="H210" s="123">
        <f t="shared" si="36"/>
        <v>0</v>
      </c>
      <c r="I210" s="123">
        <f t="shared" si="36"/>
        <v>0</v>
      </c>
      <c r="J210" s="123">
        <f t="shared" si="36"/>
        <v>0</v>
      </c>
      <c r="K210" s="123">
        <f t="shared" si="36"/>
        <v>0</v>
      </c>
      <c r="L210" s="123">
        <f t="shared" si="36"/>
        <v>0</v>
      </c>
      <c r="M210" s="123">
        <f t="shared" si="36"/>
        <v>0</v>
      </c>
      <c r="N210"/>
      <c r="O210"/>
    </row>
    <row r="211" spans="7:15" ht="12.75">
      <c r="G211" s="123"/>
      <c r="H211" s="123"/>
      <c r="I211" s="194"/>
      <c r="J211" s="123"/>
      <c r="K211" s="123"/>
      <c r="L211" s="123"/>
      <c r="M211" s="123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6:15" ht="15.75">
      <c r="F213" s="539"/>
      <c r="G213" s="539"/>
      <c r="H213" s="339"/>
      <c r="I213" s="340"/>
      <c r="J213" s="314"/>
      <c r="K213" s="314"/>
      <c r="N213"/>
      <c r="O213"/>
    </row>
    <row r="214" spans="6:15" ht="15.75">
      <c r="F214" s="314"/>
      <c r="G214" s="314"/>
      <c r="H214" s="341"/>
      <c r="I214" s="340"/>
      <c r="J214" s="342"/>
      <c r="K214" s="342"/>
      <c r="N214"/>
      <c r="O214"/>
    </row>
    <row r="215" spans="6:15" ht="15.75">
      <c r="F215" s="314"/>
      <c r="G215" s="314"/>
      <c r="H215" s="343"/>
      <c r="I215" s="104"/>
      <c r="J215" s="342"/>
      <c r="K215" s="314"/>
      <c r="N215"/>
      <c r="O215"/>
    </row>
    <row r="216" spans="6:15" ht="15.75">
      <c r="F216" s="314"/>
      <c r="G216" s="314"/>
      <c r="H216" s="314"/>
      <c r="I216" s="104"/>
      <c r="J216" s="314"/>
      <c r="K216" s="314"/>
      <c r="N216"/>
      <c r="O216"/>
    </row>
    <row r="217" spans="6:15" ht="15.75">
      <c r="F217" s="314"/>
      <c r="G217" s="314"/>
      <c r="H217" s="314"/>
      <c r="I217" s="292"/>
      <c r="J217" s="314"/>
      <c r="K217" s="314"/>
      <c r="N217"/>
      <c r="O217"/>
    </row>
    <row r="218" spans="9:15" ht="12.75">
      <c r="I218" s="194"/>
      <c r="N218"/>
      <c r="O218"/>
    </row>
  </sheetData>
  <sheetProtection/>
  <mergeCells count="83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M7:M8"/>
    <mergeCell ref="K8:L9"/>
    <mergeCell ref="C14:D14"/>
    <mergeCell ref="C20:D20"/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M154:M155"/>
    <mergeCell ref="C122:D122"/>
    <mergeCell ref="C127:D127"/>
    <mergeCell ref="C132:D132"/>
    <mergeCell ref="C139:D139"/>
    <mergeCell ref="C145:D145"/>
    <mergeCell ref="C150:D150"/>
    <mergeCell ref="C183:D183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C188:D188"/>
    <mergeCell ref="C195:D195"/>
    <mergeCell ref="A200:F200"/>
    <mergeCell ref="F212:G212"/>
    <mergeCell ref="F213:G213"/>
    <mergeCell ref="K155:L156"/>
    <mergeCell ref="C160:D160"/>
    <mergeCell ref="C166:D166"/>
    <mergeCell ref="C171:D171"/>
    <mergeCell ref="C177:D177"/>
  </mergeCells>
  <printOptions/>
  <pageMargins left="0.28" right="0.17" top="0.75" bottom="0.75" header="0.3" footer="0.3"/>
  <pageSetup horizontalDpi="600" verticalDpi="600" orientation="portrait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FF"/>
  </sheetPr>
  <dimension ref="A1:Q218"/>
  <sheetViews>
    <sheetView zoomScalePageLayoutView="0" workbookViewId="0" topLeftCell="A1">
      <selection activeCell="M206" sqref="A1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7" width="12.28125" style="0" customWidth="1"/>
    <col min="8" max="8" width="12.7109375" style="0" customWidth="1"/>
    <col min="9" max="9" width="13.140625" style="0" customWidth="1"/>
    <col min="10" max="10" width="11.28125" style="0" customWidth="1"/>
    <col min="11" max="11" width="10.28125" style="0" customWidth="1"/>
    <col min="12" max="12" width="9.7109375" style="0" customWidth="1"/>
    <col min="13" max="13" width="14.28125" style="0" customWidth="1"/>
    <col min="14" max="14" width="11.28125" style="217" bestFit="1" customWidth="1"/>
    <col min="15" max="15" width="14.00390625" style="194" bestFit="1" customWidth="1"/>
    <col min="16" max="16" width="16.28125" style="194" customWidth="1"/>
    <col min="17" max="17" width="15.00390625" style="0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82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45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46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660845.52</v>
      </c>
      <c r="H10" s="203">
        <f aca="true" t="shared" si="0" ref="H10:M10">H12+H18+H23+H29+H39+H45+H55+H61+H66+H73+H80+H87+H93+H99+H109+H114+H120+H125+H130+H137+H143+H148+H158+H164+H169+H175+H181+H186+H193</f>
        <v>685000</v>
      </c>
      <c r="I10" s="203">
        <f t="shared" si="0"/>
        <v>181339.27000000002</v>
      </c>
      <c r="J10" s="203">
        <f t="shared" si="0"/>
        <v>581000</v>
      </c>
      <c r="K10" s="203">
        <f t="shared" si="0"/>
        <v>0</v>
      </c>
      <c r="L10" s="203">
        <f t="shared" si="0"/>
        <v>0</v>
      </c>
      <c r="M10" s="208">
        <f t="shared" si="0"/>
        <v>581000</v>
      </c>
    </row>
    <row r="11" spans="1:13" ht="17.25" hidden="1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  <c r="N18" s="218"/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/>
      <c r="H21" s="96"/>
      <c r="I21" s="96"/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3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/>
      <c r="H42" s="95"/>
      <c r="I42" s="95"/>
      <c r="J42" s="242"/>
      <c r="K42" s="95"/>
      <c r="L42" s="100"/>
      <c r="M42" s="98"/>
    </row>
    <row r="43" spans="1:15" ht="15.75" hidden="1">
      <c r="A43" s="64"/>
      <c r="B43" s="65"/>
      <c r="C43" s="23"/>
      <c r="D43" s="23"/>
      <c r="E43" s="14">
        <v>13</v>
      </c>
      <c r="F43" s="14"/>
      <c r="G43" s="96"/>
      <c r="H43" s="96"/>
      <c r="I43" s="96"/>
      <c r="J43" s="243"/>
      <c r="K43" s="96"/>
      <c r="L43" s="107"/>
      <c r="M43" s="196"/>
      <c r="O43" s="194">
        <f>72525025.4/1000</f>
        <v>72525.02540000001</v>
      </c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4</v>
      </c>
      <c r="C45" s="22"/>
      <c r="D45" s="22"/>
      <c r="E45" s="11"/>
      <c r="F45" s="4" t="s">
        <v>65</v>
      </c>
      <c r="G45" s="109">
        <f aca="true" t="shared" si="6" ref="G45:K46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/>
      <c r="H47" s="95"/>
      <c r="I47" s="95"/>
      <c r="J47" s="242"/>
      <c r="K47" s="95"/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>
        <v>0</v>
      </c>
      <c r="H48" s="96">
        <v>0</v>
      </c>
      <c r="I48" s="96">
        <v>0</v>
      </c>
      <c r="J48" s="243"/>
      <c r="K48" s="96"/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3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>J56</f>
        <v>0</v>
      </c>
      <c r="K55" s="109">
        <f>K56</f>
        <v>0</v>
      </c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>
        <f>K57</f>
        <v>0</v>
      </c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>
        <f>G58+G59</f>
        <v>0</v>
      </c>
      <c r="H57" s="95">
        <f>H58+H59</f>
        <v>0</v>
      </c>
      <c r="I57" s="95">
        <f>I58+I59</f>
        <v>0</v>
      </c>
      <c r="J57" s="242">
        <f>J58+J59</f>
        <v>0</v>
      </c>
      <c r="K57" s="95">
        <f>K58+K59</f>
        <v>0</v>
      </c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/>
      <c r="H58" s="95"/>
      <c r="I58" s="95"/>
      <c r="J58" s="242"/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/>
      <c r="H59" s="96"/>
      <c r="I59" s="96"/>
      <c r="J59" s="243"/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4</v>
      </c>
      <c r="C61" s="22"/>
      <c r="D61" s="22"/>
      <c r="E61" s="11"/>
      <c r="F61" s="4" t="s">
        <v>24</v>
      </c>
      <c r="G61" s="109">
        <f aca="true" t="shared" si="8" ref="G61:K63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>G63</f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>
        <f>G64</f>
        <v>0</v>
      </c>
      <c r="H63" s="95">
        <f t="shared" si="8"/>
        <v>0</v>
      </c>
      <c r="I63" s="95">
        <f t="shared" si="8"/>
        <v>0</v>
      </c>
      <c r="J63" s="242">
        <f>J64</f>
        <v>0</v>
      </c>
      <c r="K63" s="95">
        <f t="shared" si="8"/>
        <v>0</v>
      </c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/>
      <c r="H64" s="96"/>
      <c r="I64" s="96"/>
      <c r="J64" s="243"/>
      <c r="K64" s="96"/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7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6" ht="15.75" hidden="1">
      <c r="A76" s="24"/>
      <c r="B76" s="62"/>
      <c r="C76" s="26"/>
      <c r="D76" s="26"/>
      <c r="E76" s="11">
        <v>12</v>
      </c>
      <c r="F76" s="11"/>
      <c r="G76" s="95"/>
      <c r="H76" s="95"/>
      <c r="I76" s="95"/>
      <c r="J76" s="242"/>
      <c r="K76" s="95"/>
      <c r="L76" s="95"/>
      <c r="M76" s="98">
        <f t="shared" si="10"/>
        <v>0</v>
      </c>
      <c r="O76" s="194">
        <f>462402906.49/1000</f>
        <v>462402.90649</v>
      </c>
      <c r="P76" s="194">
        <f>147810034.24/1000</f>
        <v>147810.03424</v>
      </c>
    </row>
    <row r="77" spans="1:16" ht="15.75" hidden="1">
      <c r="A77" s="24"/>
      <c r="B77" s="62"/>
      <c r="C77" s="26"/>
      <c r="D77" s="26"/>
      <c r="E77" s="11">
        <v>14</v>
      </c>
      <c r="F77" s="11"/>
      <c r="G77" s="95"/>
      <c r="H77" s="95"/>
      <c r="I77" s="95"/>
      <c r="J77" s="242"/>
      <c r="K77" s="95"/>
      <c r="L77" s="95"/>
      <c r="M77" s="98">
        <f t="shared" si="10"/>
        <v>0</v>
      </c>
      <c r="O77" s="194">
        <f>2988660.02/1000</f>
        <v>2988.66002</v>
      </c>
      <c r="P77" s="194">
        <f>3892446.5/1000</f>
        <v>3892.4465</v>
      </c>
    </row>
    <row r="78" spans="1:17" ht="15.75" hidden="1">
      <c r="A78" s="64"/>
      <c r="B78" s="65"/>
      <c r="C78" s="23"/>
      <c r="D78" s="23"/>
      <c r="E78" s="14">
        <v>17</v>
      </c>
      <c r="F78" s="14"/>
      <c r="G78" s="96"/>
      <c r="H78" s="96"/>
      <c r="I78" s="96"/>
      <c r="J78" s="243"/>
      <c r="K78" s="107"/>
      <c r="L78" s="107"/>
      <c r="M78" s="196">
        <f t="shared" si="10"/>
        <v>0</v>
      </c>
      <c r="O78" s="194">
        <f>50307236.93/1000</f>
        <v>50307.23693</v>
      </c>
      <c r="P78" s="194">
        <f>15896585.8/1000</f>
        <v>15896.5858</v>
      </c>
      <c r="Q78" s="194"/>
    </row>
    <row r="79" spans="1:14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 hidden="1">
      <c r="A80" s="24"/>
      <c r="B80" s="62">
        <v>8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7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  <c r="O83" s="194">
        <f>586548956.02/1000</f>
        <v>586548.9560199999</v>
      </c>
      <c r="P83" s="194">
        <f>64824015.01/1000</f>
        <v>64824.015009999996</v>
      </c>
      <c r="Q83" s="194"/>
    </row>
    <row r="84" spans="1:16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  <c r="O84" s="194">
        <f>13819901.67/1000</f>
        <v>13819.90167</v>
      </c>
      <c r="P84" s="194">
        <f>4060189.37/1000</f>
        <v>4060.18937</v>
      </c>
    </row>
    <row r="85" spans="1:16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  <c r="N85" s="194">
        <f>(97880000+7700000)/1000</f>
        <v>105580</v>
      </c>
      <c r="O85" s="194">
        <f>74966201.95/1000</f>
        <v>74966.20195</v>
      </c>
      <c r="P85" s="194">
        <f>18093620.97/1000</f>
        <v>18093.62097</v>
      </c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9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7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  <c r="O90" s="194">
        <f>1117250988.01/1000</f>
        <v>1117250.98801</v>
      </c>
      <c r="P90" s="194">
        <f>517822407.17/1000</f>
        <v>517822.40717</v>
      </c>
      <c r="Q90" s="194"/>
    </row>
    <row r="91" spans="1:16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  <c r="O91" s="194">
        <f>118187217.7/1000</f>
        <v>118187.21770000001</v>
      </c>
      <c r="P91" s="194">
        <f>74957202.59/1000</f>
        <v>74957.20259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10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7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  <c r="O96" s="194">
        <f>512801720.89/1000</f>
        <v>512801.72089</v>
      </c>
      <c r="P96" s="194">
        <f>318563378.21/1000</f>
        <v>318563.37821</v>
      </c>
      <c r="Q96" s="220"/>
    </row>
    <row r="97" spans="1:16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  <c r="O97" s="194">
        <f>125494063.56/1000</f>
        <v>125494.06356000001</v>
      </c>
      <c r="P97" s="194">
        <f>73525587.12/1000</f>
        <v>73525.58712000001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3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4</v>
      </c>
      <c r="C109" s="22"/>
      <c r="D109" s="22"/>
      <c r="E109" s="11"/>
      <c r="F109" s="4" t="s">
        <v>65</v>
      </c>
      <c r="G109" s="109">
        <f aca="true" t="shared" si="16" ref="G109:K111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>
        <f>G112</f>
        <v>0</v>
      </c>
      <c r="H111" s="95">
        <f t="shared" si="16"/>
        <v>0</v>
      </c>
      <c r="I111" s="95">
        <f t="shared" si="16"/>
        <v>0</v>
      </c>
      <c r="J111" s="242">
        <f>J112</f>
        <v>0</v>
      </c>
      <c r="K111" s="95">
        <f t="shared" si="16"/>
        <v>0</v>
      </c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3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4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196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6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6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  <c r="O133" s="194">
        <f>267382507.32/1000</f>
        <v>267382.50732</v>
      </c>
      <c r="P133" s="194">
        <f>10329470.82/1000</f>
        <v>10329.47082</v>
      </c>
    </row>
    <row r="134" spans="1:16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  <c r="O134" s="194">
        <f>8704563.05/1000</f>
        <v>8704.56305</v>
      </c>
      <c r="P134" s="194">
        <f>3612975.22/1000</f>
        <v>3612.9752200000003</v>
      </c>
    </row>
    <row r="135" spans="1:16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  <c r="O135" s="194">
        <f>30204323.79/1000</f>
        <v>30204.32379</v>
      </c>
      <c r="P135" s="194">
        <f>2797083.83/1000</f>
        <v>2797.08383</v>
      </c>
    </row>
    <row r="136" spans="1:13" ht="15.75">
      <c r="A136" s="24"/>
      <c r="B136" s="62"/>
      <c r="C136" s="22"/>
      <c r="D136" s="22"/>
      <c r="E136" s="11"/>
      <c r="F136" s="18" t="s">
        <v>52</v>
      </c>
      <c r="G136" s="95"/>
      <c r="H136" s="95"/>
      <c r="I136" s="95"/>
      <c r="J136" s="242"/>
      <c r="K136" s="104"/>
      <c r="L136" s="104"/>
      <c r="M136" s="198"/>
    </row>
    <row r="137" spans="1:13" ht="78.75">
      <c r="A137" s="24"/>
      <c r="B137" s="62">
        <v>3</v>
      </c>
      <c r="C137" s="22"/>
      <c r="D137" s="22"/>
      <c r="E137" s="22"/>
      <c r="F137" s="99" t="s">
        <v>64</v>
      </c>
      <c r="G137" s="109">
        <f aca="true" t="shared" si="21" ref="G137:J138">G138</f>
        <v>295845.52</v>
      </c>
      <c r="H137" s="109">
        <f t="shared" si="21"/>
        <v>325000</v>
      </c>
      <c r="I137" s="109">
        <f t="shared" si="21"/>
        <v>131339.27000000002</v>
      </c>
      <c r="J137" s="240">
        <f t="shared" si="21"/>
        <v>106000</v>
      </c>
      <c r="K137" s="109"/>
      <c r="L137" s="94"/>
      <c r="M137" s="114">
        <f>J137+K137+L137</f>
        <v>106000</v>
      </c>
    </row>
    <row r="138" spans="1:13" ht="15.75">
      <c r="A138" s="24"/>
      <c r="B138" s="62"/>
      <c r="C138" s="22"/>
      <c r="D138" s="22"/>
      <c r="E138" s="11"/>
      <c r="F138" s="8" t="s">
        <v>9</v>
      </c>
      <c r="G138" s="94">
        <f t="shared" si="21"/>
        <v>295845.52</v>
      </c>
      <c r="H138" s="94">
        <f t="shared" si="21"/>
        <v>325000</v>
      </c>
      <c r="I138" s="94">
        <f t="shared" si="21"/>
        <v>131339.27000000002</v>
      </c>
      <c r="J138" s="241">
        <f t="shared" si="21"/>
        <v>106000</v>
      </c>
      <c r="K138" s="94"/>
      <c r="L138" s="94"/>
      <c r="M138" s="97">
        <f>J138+K138+L138</f>
        <v>106000</v>
      </c>
    </row>
    <row r="139" spans="1:13" ht="15.75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295845.52</v>
      </c>
      <c r="H139" s="95">
        <f>H140+H141</f>
        <v>325000</v>
      </c>
      <c r="I139" s="95">
        <f>I140+I141</f>
        <v>131339.27000000002</v>
      </c>
      <c r="J139" s="242">
        <f>J140+J141</f>
        <v>106000</v>
      </c>
      <c r="K139" s="95"/>
      <c r="L139" s="95"/>
      <c r="M139" s="98">
        <f>J139+K139+L139</f>
        <v>106000</v>
      </c>
    </row>
    <row r="140" spans="1:16" ht="15.75">
      <c r="A140" s="24"/>
      <c r="B140" s="62"/>
      <c r="C140" s="22"/>
      <c r="D140" s="22"/>
      <c r="E140" s="11">
        <v>12</v>
      </c>
      <c r="F140" s="11"/>
      <c r="G140" s="95">
        <v>200680.65</v>
      </c>
      <c r="H140" s="95">
        <v>200000</v>
      </c>
      <c r="I140" s="95">
        <v>60738.2</v>
      </c>
      <c r="J140" s="242">
        <v>106000</v>
      </c>
      <c r="K140" s="95"/>
      <c r="L140" s="100"/>
      <c r="M140" s="98">
        <f>J140+K140+L140</f>
        <v>106000</v>
      </c>
      <c r="O140" s="194">
        <f>200680653.25/1000</f>
        <v>200680.65325</v>
      </c>
      <c r="P140" s="194">
        <f>60738196.49/1000</f>
        <v>60738.19649</v>
      </c>
    </row>
    <row r="141" spans="1:16" ht="15.75">
      <c r="A141" s="64"/>
      <c r="B141" s="65"/>
      <c r="C141" s="23"/>
      <c r="D141" s="23"/>
      <c r="E141" s="14">
        <v>13</v>
      </c>
      <c r="F141" s="14"/>
      <c r="G141" s="96">
        <v>95164.87</v>
      </c>
      <c r="H141" s="96">
        <v>125000</v>
      </c>
      <c r="I141" s="96">
        <v>70601.07</v>
      </c>
      <c r="J141" s="347">
        <v>0</v>
      </c>
      <c r="K141" s="96"/>
      <c r="L141" s="107"/>
      <c r="M141" s="196">
        <f>J141+K141+L141</f>
        <v>0</v>
      </c>
      <c r="O141" s="194">
        <f>95164871.26/1000</f>
        <v>95164.87126</v>
      </c>
      <c r="P141" s="194">
        <f>70601066/1000</f>
        <v>70601.066</v>
      </c>
    </row>
    <row r="142" spans="1:13" ht="15.75">
      <c r="A142" s="24"/>
      <c r="B142" s="62"/>
      <c r="C142" s="22"/>
      <c r="D142" s="22"/>
      <c r="E142" s="11"/>
      <c r="F142" s="18" t="s">
        <v>52</v>
      </c>
      <c r="G142" s="95"/>
      <c r="H142" s="95"/>
      <c r="I142" s="95"/>
      <c r="J142" s="242"/>
      <c r="K142" s="95"/>
      <c r="L142" s="104"/>
      <c r="M142" s="98"/>
    </row>
    <row r="143" spans="1:13" ht="36.75" customHeight="1">
      <c r="A143" s="24"/>
      <c r="B143" s="62">
        <v>4</v>
      </c>
      <c r="C143" s="22"/>
      <c r="D143" s="22"/>
      <c r="E143" s="11"/>
      <c r="F143" s="4" t="s">
        <v>65</v>
      </c>
      <c r="G143" s="109">
        <f aca="true" t="shared" si="22" ref="G143:K145">G144</f>
        <v>365000</v>
      </c>
      <c r="H143" s="109">
        <f t="shared" si="22"/>
        <v>360000</v>
      </c>
      <c r="I143" s="109">
        <f t="shared" si="22"/>
        <v>50000</v>
      </c>
      <c r="J143" s="240">
        <f t="shared" si="22"/>
        <v>475000</v>
      </c>
      <c r="K143" s="361">
        <f t="shared" si="22"/>
        <v>0</v>
      </c>
      <c r="L143" s="95"/>
      <c r="M143" s="114">
        <f>J143+K143+L143</f>
        <v>475000</v>
      </c>
    </row>
    <row r="144" spans="1:13" ht="15.75">
      <c r="A144" s="24"/>
      <c r="B144" s="62"/>
      <c r="C144" s="22"/>
      <c r="D144" s="22"/>
      <c r="E144" s="11"/>
      <c r="F144" s="8" t="s">
        <v>9</v>
      </c>
      <c r="G144" s="94">
        <f t="shared" si="22"/>
        <v>365000</v>
      </c>
      <c r="H144" s="94">
        <f t="shared" si="22"/>
        <v>360000</v>
      </c>
      <c r="I144" s="94">
        <f>I145</f>
        <v>50000</v>
      </c>
      <c r="J144" s="241">
        <f t="shared" si="22"/>
        <v>475000</v>
      </c>
      <c r="K144" s="363">
        <f t="shared" si="22"/>
        <v>0</v>
      </c>
      <c r="L144" s="94"/>
      <c r="M144" s="97">
        <f>J144+K144+L144</f>
        <v>475000</v>
      </c>
    </row>
    <row r="145" spans="1:13" ht="15.75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365000</v>
      </c>
      <c r="H145" s="95">
        <f t="shared" si="22"/>
        <v>360000</v>
      </c>
      <c r="I145" s="95">
        <f>I146</f>
        <v>50000</v>
      </c>
      <c r="J145" s="242">
        <f t="shared" si="22"/>
        <v>475000</v>
      </c>
      <c r="K145" s="365">
        <f t="shared" si="22"/>
        <v>0</v>
      </c>
      <c r="L145" s="95"/>
      <c r="M145" s="98">
        <f>J145+K145+L145</f>
        <v>475000</v>
      </c>
    </row>
    <row r="146" spans="1:13" ht="17.25" customHeight="1">
      <c r="A146" s="64"/>
      <c r="B146" s="65"/>
      <c r="C146" s="23"/>
      <c r="D146" s="23"/>
      <c r="E146" s="14">
        <v>12</v>
      </c>
      <c r="F146" s="14"/>
      <c r="G146" s="96">
        <v>365000</v>
      </c>
      <c r="H146" s="96">
        <v>360000</v>
      </c>
      <c r="I146" s="96">
        <v>50000</v>
      </c>
      <c r="J146" s="243">
        <v>475000</v>
      </c>
      <c r="K146" s="96"/>
      <c r="L146" s="107"/>
      <c r="M146" s="98">
        <f>J146+K146+L146</f>
        <v>475000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 aca="true" t="shared" si="27" ref="G198:M198">G19+G13+G24+G30+G40+G46+G56+G62+G67+G74+G81+G88+G94+G100+G110+G115+G121+G126+G131+G138+G144+G149+G159+G165+G170+G176+G182+G187+G194+G35</f>
        <v>660845.52</v>
      </c>
      <c r="H198" s="251">
        <f t="shared" si="27"/>
        <v>685000</v>
      </c>
      <c r="I198" s="251">
        <f>I19+I13+I24+I30+I40+I46+I56+I62+I67+I74+I81+I88+I94+I100+I110+I115+I121+I126+I131+I138+I144+I149+I159+I165+I170+I176+I182+I187+I194+I35</f>
        <v>181339.27000000002</v>
      </c>
      <c r="J198" s="251">
        <f t="shared" si="27"/>
        <v>581000</v>
      </c>
      <c r="K198" s="251">
        <f t="shared" si="27"/>
        <v>0</v>
      </c>
      <c r="L198" s="251">
        <f t="shared" si="27"/>
        <v>0</v>
      </c>
      <c r="M198" s="252">
        <f t="shared" si="27"/>
        <v>581000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3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660845.52</v>
      </c>
      <c r="H200" s="245">
        <f aca="true" t="shared" si="28" ref="H200:M200">H12+H18+H23+H29+H39+H45+H55+H61+H66+H73+H80+H87+H93+H99+H109+H114+H120+H125+H130+H137+H143+H148+H158+H164+H169+H175+H181+H186+H193</f>
        <v>685000</v>
      </c>
      <c r="I200" s="245">
        <f t="shared" si="28"/>
        <v>181339.27000000002</v>
      </c>
      <c r="J200" s="245">
        <f t="shared" si="28"/>
        <v>581000</v>
      </c>
      <c r="K200" s="245">
        <f t="shared" si="28"/>
        <v>0</v>
      </c>
      <c r="L200" s="245">
        <f t="shared" si="28"/>
        <v>0</v>
      </c>
      <c r="M200" s="246">
        <f t="shared" si="28"/>
        <v>581000</v>
      </c>
    </row>
    <row r="201" spans="1:13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v>0</v>
      </c>
      <c r="H202" s="12">
        <v>0</v>
      </c>
      <c r="I202" s="12">
        <v>0</v>
      </c>
      <c r="J202" s="259">
        <v>0</v>
      </c>
      <c r="K202" s="12">
        <v>0</v>
      </c>
      <c r="L202" s="12">
        <v>0</v>
      </c>
      <c r="M202" s="81">
        <v>0</v>
      </c>
    </row>
    <row r="203" spans="1:13" ht="15.75">
      <c r="A203" s="24"/>
      <c r="B203" s="7"/>
      <c r="C203" s="8" t="s">
        <v>16</v>
      </c>
      <c r="D203" s="8"/>
      <c r="E203" s="8"/>
      <c r="F203" s="8"/>
      <c r="G203" s="9">
        <f aca="true" t="shared" si="30" ref="G203:M203">G204+G205+G206</f>
        <v>660845.52</v>
      </c>
      <c r="H203" s="9">
        <f t="shared" si="30"/>
        <v>685000</v>
      </c>
      <c r="I203" s="9">
        <f t="shared" si="30"/>
        <v>181339.27000000002</v>
      </c>
      <c r="J203" s="238">
        <f t="shared" si="30"/>
        <v>581000</v>
      </c>
      <c r="K203" s="9">
        <f t="shared" si="30"/>
        <v>0</v>
      </c>
      <c r="L203" s="9">
        <f t="shared" si="30"/>
        <v>0</v>
      </c>
      <c r="M203" s="83">
        <f t="shared" si="30"/>
        <v>581000</v>
      </c>
    </row>
    <row r="204" spans="1:13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1" ref="G204:M204">G15+G21+G26+G32+G42+G48+G58+G64+G76+G83+G90+G96+G102+G112+G117+G123+G133+G140+G146+G161+G167+G172+G178+G189+G196+G69+G128+G151+G184+G36</f>
        <v>565680.65</v>
      </c>
      <c r="H204" s="12">
        <f t="shared" si="31"/>
        <v>560000</v>
      </c>
      <c r="I204" s="12">
        <f t="shared" si="31"/>
        <v>110738.2</v>
      </c>
      <c r="J204" s="232">
        <f t="shared" si="31"/>
        <v>581000</v>
      </c>
      <c r="K204" s="12">
        <f t="shared" si="31"/>
        <v>0</v>
      </c>
      <c r="L204" s="12">
        <f t="shared" si="31"/>
        <v>0</v>
      </c>
      <c r="M204" s="81">
        <f t="shared" si="31"/>
        <v>581000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2" ref="G205:M205">G16+G27+G43+G59+G103+G118+G141+G162+G179</f>
        <v>95164.87</v>
      </c>
      <c r="H205" s="12">
        <f t="shared" si="32"/>
        <v>125000</v>
      </c>
      <c r="I205" s="12">
        <f t="shared" si="32"/>
        <v>70601.07</v>
      </c>
      <c r="J205" s="259">
        <f t="shared" si="32"/>
        <v>0</v>
      </c>
      <c r="K205" s="12">
        <f t="shared" si="32"/>
        <v>0</v>
      </c>
      <c r="L205" s="12">
        <f t="shared" si="32"/>
        <v>0</v>
      </c>
      <c r="M205" s="81">
        <f t="shared" si="32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3" ref="G206:M206">G70+G77+G84+G134+G190</f>
        <v>0</v>
      </c>
      <c r="H206" s="15">
        <f t="shared" si="33"/>
        <v>0</v>
      </c>
      <c r="I206" s="15">
        <f t="shared" si="33"/>
        <v>0</v>
      </c>
      <c r="J206" s="260">
        <f t="shared" si="33"/>
        <v>0</v>
      </c>
      <c r="K206" s="15">
        <f t="shared" si="33"/>
        <v>0</v>
      </c>
      <c r="L206" s="15">
        <f t="shared" si="33"/>
        <v>0</v>
      </c>
      <c r="M206" s="84">
        <f t="shared" si="33"/>
        <v>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 aca="true" t="shared" si="34" ref="G208:M208">G10-G198</f>
        <v>0</v>
      </c>
      <c r="H208" s="12">
        <f t="shared" si="34"/>
        <v>0</v>
      </c>
      <c r="I208" s="12">
        <f t="shared" si="34"/>
        <v>0</v>
      </c>
      <c r="J208" s="12">
        <f t="shared" si="34"/>
        <v>0</v>
      </c>
      <c r="K208" s="12">
        <f t="shared" si="34"/>
        <v>0</v>
      </c>
      <c r="L208" s="12">
        <f t="shared" si="34"/>
        <v>0</v>
      </c>
      <c r="M208" s="12">
        <f t="shared" si="34"/>
        <v>0</v>
      </c>
    </row>
    <row r="209" spans="1:15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5" ref="H209:M209">H198-H200</f>
        <v>0</v>
      </c>
      <c r="I209" s="12">
        <f t="shared" si="35"/>
        <v>0</v>
      </c>
      <c r="J209" s="12">
        <f t="shared" si="35"/>
        <v>0</v>
      </c>
      <c r="K209" s="12">
        <f t="shared" si="35"/>
        <v>0</v>
      </c>
      <c r="L209" s="12">
        <f t="shared" si="35"/>
        <v>0</v>
      </c>
      <c r="M209" s="12">
        <f t="shared" si="35"/>
        <v>0</v>
      </c>
      <c r="N209"/>
      <c r="O209"/>
    </row>
    <row r="210" spans="7:15" ht="12.75">
      <c r="G210" s="123">
        <f aca="true" t="shared" si="36" ref="G210:M210">G200-G10</f>
        <v>0</v>
      </c>
      <c r="H210" s="123">
        <f t="shared" si="36"/>
        <v>0</v>
      </c>
      <c r="I210" s="123">
        <f t="shared" si="36"/>
        <v>0</v>
      </c>
      <c r="J210" s="123">
        <f t="shared" si="36"/>
        <v>0</v>
      </c>
      <c r="K210" s="123">
        <f t="shared" si="36"/>
        <v>0</v>
      </c>
      <c r="L210" s="123">
        <f t="shared" si="36"/>
        <v>0</v>
      </c>
      <c r="M210" s="123">
        <f t="shared" si="36"/>
        <v>0</v>
      </c>
      <c r="N210"/>
      <c r="O210"/>
    </row>
    <row r="211" spans="7:15" ht="12.75">
      <c r="G211" s="123"/>
      <c r="H211" s="123"/>
      <c r="I211" s="194"/>
      <c r="J211" s="123"/>
      <c r="K211" s="123"/>
      <c r="L211" s="123"/>
      <c r="M211" s="123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6:15" ht="15.75">
      <c r="F213" s="539"/>
      <c r="G213" s="539"/>
      <c r="H213" s="339"/>
      <c r="I213" s="340"/>
      <c r="J213" s="314"/>
      <c r="K213" s="314"/>
      <c r="N213"/>
      <c r="O213"/>
    </row>
    <row r="214" spans="6:15" ht="15.75">
      <c r="F214" s="314"/>
      <c r="G214" s="314"/>
      <c r="H214" s="341"/>
      <c r="I214" s="340"/>
      <c r="J214" s="342"/>
      <c r="K214" s="342"/>
      <c r="N214"/>
      <c r="O214"/>
    </row>
    <row r="215" spans="6:15" ht="15.75">
      <c r="F215" s="314"/>
      <c r="G215" s="314"/>
      <c r="H215" s="343"/>
      <c r="I215" s="104"/>
      <c r="J215" s="342"/>
      <c r="K215" s="314"/>
      <c r="N215"/>
      <c r="O215"/>
    </row>
    <row r="216" spans="6:15" ht="15.75">
      <c r="F216" s="314"/>
      <c r="G216" s="314"/>
      <c r="H216" s="314"/>
      <c r="I216" s="104"/>
      <c r="J216" s="314"/>
      <c r="K216" s="314"/>
      <c r="N216"/>
      <c r="O216"/>
    </row>
    <row r="217" spans="6:15" ht="15.75">
      <c r="F217" s="314"/>
      <c r="G217" s="314"/>
      <c r="H217" s="314"/>
      <c r="I217" s="292"/>
      <c r="J217" s="314"/>
      <c r="K217" s="314"/>
      <c r="N217"/>
      <c r="O217"/>
    </row>
    <row r="218" spans="9:15" ht="12.75">
      <c r="I218" s="194"/>
      <c r="N218"/>
      <c r="O218"/>
    </row>
  </sheetData>
  <sheetProtection/>
  <mergeCells count="83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M7:M8"/>
    <mergeCell ref="K8:L9"/>
    <mergeCell ref="C14:D14"/>
    <mergeCell ref="C20:D20"/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M154:M155"/>
    <mergeCell ref="C122:D122"/>
    <mergeCell ref="C127:D127"/>
    <mergeCell ref="C132:D132"/>
    <mergeCell ref="C139:D139"/>
    <mergeCell ref="C145:D145"/>
    <mergeCell ref="C150:D150"/>
    <mergeCell ref="C183:D183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C188:D188"/>
    <mergeCell ref="C195:D195"/>
    <mergeCell ref="A200:F200"/>
    <mergeCell ref="F212:G212"/>
    <mergeCell ref="F213:G213"/>
    <mergeCell ref="K155:L156"/>
    <mergeCell ref="C160:D160"/>
    <mergeCell ref="C166:D166"/>
    <mergeCell ref="C171:D171"/>
    <mergeCell ref="C177:D177"/>
  </mergeCells>
  <printOptions/>
  <pageMargins left="0.37" right="0.17" top="0.75" bottom="0.75" header="0.3" footer="0.3"/>
  <pageSetup horizontalDpi="600" verticalDpi="600" orientation="portrait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7030A0"/>
  </sheetPr>
  <dimension ref="A1:P108"/>
  <sheetViews>
    <sheetView tabSelected="1" zoomScalePageLayoutView="0" workbookViewId="0" topLeftCell="A78">
      <selection activeCell="B88" sqref="B88"/>
    </sheetView>
  </sheetViews>
  <sheetFormatPr defaultColWidth="9.140625" defaultRowHeight="12.75"/>
  <cols>
    <col min="1" max="1" width="7.140625" style="383" customWidth="1"/>
    <col min="2" max="2" width="63.140625" style="387" customWidth="1"/>
    <col min="3" max="3" width="14.28125" style="390" customWidth="1"/>
    <col min="4" max="4" width="16.8515625" style="390" customWidth="1"/>
    <col min="5" max="5" width="14.57421875" style="383" bestFit="1" customWidth="1"/>
    <col min="6" max="6" width="13.57421875" style="383" bestFit="1" customWidth="1"/>
    <col min="7" max="7" width="12.140625" style="383" bestFit="1" customWidth="1"/>
    <col min="8" max="10" width="9.140625" style="383" customWidth="1"/>
    <col min="11" max="11" width="11.28125" style="383" bestFit="1" customWidth="1"/>
    <col min="12" max="12" width="9.140625" style="383" customWidth="1"/>
    <col min="13" max="13" width="10.140625" style="383" bestFit="1" customWidth="1"/>
    <col min="14" max="16384" width="9.140625" style="383" customWidth="1"/>
  </cols>
  <sheetData>
    <row r="1" spans="2:4" ht="18">
      <c r="B1" s="476" t="s">
        <v>28</v>
      </c>
      <c r="C1" s="476"/>
      <c r="D1" s="476"/>
    </row>
    <row r="2" spans="2:4" ht="18">
      <c r="B2" s="476" t="s">
        <v>94</v>
      </c>
      <c r="C2" s="476"/>
      <c r="D2" s="476"/>
    </row>
    <row r="3" spans="2:4" ht="18">
      <c r="B3" s="476" t="s">
        <v>95</v>
      </c>
      <c r="C3" s="476"/>
      <c r="D3" s="476"/>
    </row>
    <row r="4" spans="2:4" ht="8.25" customHeight="1">
      <c r="B4" s="385"/>
      <c r="C4" s="449"/>
      <c r="D4" s="388"/>
    </row>
    <row r="5" spans="1:4" ht="30.75" customHeight="1">
      <c r="A5" s="427" t="s">
        <v>96</v>
      </c>
      <c r="B5" s="477" t="s">
        <v>90</v>
      </c>
      <c r="C5" s="442" t="s">
        <v>111</v>
      </c>
      <c r="D5" s="477" t="s">
        <v>88</v>
      </c>
    </row>
    <row r="6" spans="1:4" ht="13.5" customHeight="1">
      <c r="A6" s="429" t="s">
        <v>97</v>
      </c>
      <c r="B6" s="478"/>
      <c r="C6" s="443"/>
      <c r="D6" s="478"/>
    </row>
    <row r="7" spans="1:4" ht="4.5" customHeight="1" hidden="1">
      <c r="A7" s="428"/>
      <c r="B7" s="479"/>
      <c r="C7" s="452"/>
      <c r="D7" s="479"/>
    </row>
    <row r="8" spans="1:4" ht="55.5" customHeight="1" hidden="1">
      <c r="A8" s="428"/>
      <c r="B8" s="405"/>
      <c r="C8" s="451"/>
      <c r="D8" s="391"/>
    </row>
    <row r="9" spans="1:4" ht="18" customHeight="1" hidden="1">
      <c r="A9" s="428"/>
      <c r="B9" s="406"/>
      <c r="C9" s="453"/>
      <c r="D9" s="391"/>
    </row>
    <row r="10" spans="1:4" ht="17.25" customHeight="1" hidden="1">
      <c r="A10" s="428"/>
      <c r="B10" s="407"/>
      <c r="C10" s="454"/>
      <c r="D10" s="391"/>
    </row>
    <row r="11" spans="1:4" ht="14.25" customHeight="1" hidden="1">
      <c r="A11" s="428"/>
      <c r="B11" s="407"/>
      <c r="C11" s="454"/>
      <c r="D11" s="391"/>
    </row>
    <row r="12" spans="1:4" ht="14.25" customHeight="1" hidden="1">
      <c r="A12" s="428"/>
      <c r="B12" s="407"/>
      <c r="C12" s="454"/>
      <c r="D12" s="391"/>
    </row>
    <row r="13" spans="1:4" ht="15" customHeight="1" hidden="1">
      <c r="A13" s="428"/>
      <c r="B13" s="408"/>
      <c r="C13" s="455"/>
      <c r="D13" s="391"/>
    </row>
    <row r="14" spans="1:16" ht="33">
      <c r="A14" s="439">
        <v>1</v>
      </c>
      <c r="B14" s="409" t="s">
        <v>31</v>
      </c>
      <c r="C14" s="456">
        <v>3380</v>
      </c>
      <c r="D14" s="392">
        <v>3833</v>
      </c>
      <c r="F14" s="424">
        <f>D14+D25+D36+D39+D40+D51+D52+D53+D78+D79</f>
        <v>21773.87</v>
      </c>
      <c r="G14" s="424">
        <f>D75+D76</f>
        <v>5500</v>
      </c>
      <c r="H14" s="425">
        <f>D27+D42</f>
        <v>558</v>
      </c>
      <c r="I14" s="425">
        <f>D28+D43</f>
        <v>575</v>
      </c>
      <c r="J14" s="425">
        <f>D29+D44</f>
        <v>563</v>
      </c>
      <c r="K14" s="424">
        <f>D30+D37+D45+D77</f>
        <v>1019.75</v>
      </c>
      <c r="L14" s="425">
        <f>D31+D46</f>
        <v>569</v>
      </c>
      <c r="M14" s="424">
        <f>D32+D38+D47</f>
        <v>590.75</v>
      </c>
      <c r="N14" s="425">
        <f>D33+D48</f>
        <v>573</v>
      </c>
      <c r="O14" s="425">
        <f>D34+D49</f>
        <v>565</v>
      </c>
      <c r="P14" s="425">
        <f>D35+D50</f>
        <v>581</v>
      </c>
    </row>
    <row r="15" spans="1:4" s="384" customFormat="1" ht="12" customHeight="1" hidden="1">
      <c r="A15" s="428"/>
      <c r="B15" s="411"/>
      <c r="C15" s="457"/>
      <c r="D15" s="394"/>
    </row>
    <row r="16" spans="1:4" s="384" customFormat="1" ht="49.5" customHeight="1" hidden="1">
      <c r="A16" s="428"/>
      <c r="B16" s="412" t="s">
        <v>26</v>
      </c>
      <c r="C16" s="458"/>
      <c r="D16" s="394"/>
    </row>
    <row r="17" spans="1:4" s="384" customFormat="1" ht="16.5" hidden="1">
      <c r="A17" s="428"/>
      <c r="B17" s="413" t="s">
        <v>9</v>
      </c>
      <c r="C17" s="459"/>
      <c r="D17" s="394"/>
    </row>
    <row r="18" spans="1:4" s="384" customFormat="1" ht="31.5" customHeight="1" hidden="1">
      <c r="A18" s="428"/>
      <c r="B18" s="414" t="s">
        <v>21</v>
      </c>
      <c r="C18" s="460"/>
      <c r="D18" s="395"/>
    </row>
    <row r="19" spans="1:4" s="384" customFormat="1" ht="15.75" hidden="1">
      <c r="A19" s="428"/>
      <c r="B19" s="415"/>
      <c r="C19" s="461"/>
      <c r="D19" s="396"/>
    </row>
    <row r="20" spans="1:4" s="384" customFormat="1" ht="33" hidden="1">
      <c r="A20" s="428"/>
      <c r="B20" s="409" t="s">
        <v>54</v>
      </c>
      <c r="C20" s="450"/>
      <c r="D20" s="397"/>
    </row>
    <row r="21" spans="1:4" s="384" customFormat="1" ht="15.75" hidden="1">
      <c r="A21" s="428"/>
      <c r="B21" s="406" t="s">
        <v>9</v>
      </c>
      <c r="C21" s="453"/>
      <c r="D21" s="393"/>
    </row>
    <row r="22" spans="1:4" s="384" customFormat="1" ht="31.5" customHeight="1" hidden="1">
      <c r="A22" s="428"/>
      <c r="B22" s="407" t="s">
        <v>21</v>
      </c>
      <c r="C22" s="454"/>
      <c r="D22" s="398"/>
    </row>
    <row r="23" spans="1:4" s="384" customFormat="1" ht="15.75" hidden="1">
      <c r="A23" s="428"/>
      <c r="B23" s="416"/>
      <c r="C23" s="455"/>
      <c r="D23" s="398"/>
    </row>
    <row r="24" spans="1:4" s="384" customFormat="1" ht="15.75" hidden="1">
      <c r="A24" s="428"/>
      <c r="B24" s="408"/>
      <c r="C24" s="462"/>
      <c r="D24" s="399"/>
    </row>
    <row r="25" spans="1:6" s="384" customFormat="1" ht="42" customHeight="1">
      <c r="A25" s="439">
        <v>2</v>
      </c>
      <c r="B25" s="409" t="s">
        <v>57</v>
      </c>
      <c r="C25" s="450"/>
      <c r="D25" s="400"/>
      <c r="F25" s="426">
        <f>F14+G14+H14+I14+J14+K14+L14+M14+N14+O14+P14</f>
        <v>32868.369999999995</v>
      </c>
    </row>
    <row r="26" spans="1:6" s="384" customFormat="1" ht="21" customHeight="1">
      <c r="A26" s="428"/>
      <c r="B26" s="409" t="s">
        <v>103</v>
      </c>
      <c r="C26" s="456">
        <v>40</v>
      </c>
      <c r="D26" s="400">
        <v>30</v>
      </c>
      <c r="F26" s="426"/>
    </row>
    <row r="27" spans="1:4" s="384" customFormat="1" ht="21" customHeight="1">
      <c r="A27" s="428"/>
      <c r="B27" s="409" t="s">
        <v>104</v>
      </c>
      <c r="C27" s="456">
        <v>270</v>
      </c>
      <c r="D27" s="400">
        <v>83</v>
      </c>
    </row>
    <row r="28" spans="1:4" s="384" customFormat="1" ht="21" customHeight="1">
      <c r="A28" s="428"/>
      <c r="B28" s="409" t="s">
        <v>101</v>
      </c>
      <c r="C28" s="456">
        <v>305</v>
      </c>
      <c r="D28" s="400">
        <v>100</v>
      </c>
    </row>
    <row r="29" spans="1:4" s="384" customFormat="1" ht="21" customHeight="1">
      <c r="A29" s="428"/>
      <c r="B29" s="409" t="s">
        <v>102</v>
      </c>
      <c r="C29" s="456">
        <v>280</v>
      </c>
      <c r="D29" s="400">
        <v>88</v>
      </c>
    </row>
    <row r="30" spans="1:4" s="384" customFormat="1" ht="21" customHeight="1">
      <c r="A30" s="428"/>
      <c r="B30" s="409" t="s">
        <v>99</v>
      </c>
      <c r="C30" s="456">
        <v>315</v>
      </c>
      <c r="D30" s="400">
        <v>100</v>
      </c>
    </row>
    <row r="31" spans="1:4" s="384" customFormat="1" ht="21" customHeight="1">
      <c r="A31" s="428"/>
      <c r="B31" s="409" t="s">
        <v>100</v>
      </c>
      <c r="C31" s="456">
        <v>295</v>
      </c>
      <c r="D31" s="400">
        <v>94</v>
      </c>
    </row>
    <row r="32" spans="1:4" s="384" customFormat="1" ht="21" customHeight="1">
      <c r="A32" s="428"/>
      <c r="B32" s="409" t="s">
        <v>106</v>
      </c>
      <c r="C32" s="456">
        <v>125</v>
      </c>
      <c r="D32" s="400">
        <v>94</v>
      </c>
    </row>
    <row r="33" spans="1:4" s="384" customFormat="1" ht="21" customHeight="1">
      <c r="A33" s="428"/>
      <c r="B33" s="409" t="s">
        <v>107</v>
      </c>
      <c r="C33" s="456">
        <v>320</v>
      </c>
      <c r="D33" s="400">
        <v>98</v>
      </c>
    </row>
    <row r="34" spans="1:4" s="384" customFormat="1" ht="21" customHeight="1">
      <c r="A34" s="428"/>
      <c r="B34" s="409" t="s">
        <v>108</v>
      </c>
      <c r="C34" s="456">
        <v>285</v>
      </c>
      <c r="D34" s="400">
        <v>90</v>
      </c>
    </row>
    <row r="35" spans="1:4" s="384" customFormat="1" ht="21" customHeight="1">
      <c r="A35" s="446"/>
      <c r="B35" s="447" t="s">
        <v>109</v>
      </c>
      <c r="C35" s="465">
        <v>325</v>
      </c>
      <c r="D35" s="448">
        <v>106</v>
      </c>
    </row>
    <row r="36" spans="1:4" s="384" customFormat="1" ht="33">
      <c r="A36" s="444">
        <v>3</v>
      </c>
      <c r="B36" s="405" t="s">
        <v>98</v>
      </c>
      <c r="C36" s="466">
        <v>15.4</v>
      </c>
      <c r="D36" s="445">
        <v>12.45</v>
      </c>
    </row>
    <row r="37" spans="1:4" s="384" customFormat="1" ht="33">
      <c r="A37" s="439">
        <v>4</v>
      </c>
      <c r="B37" s="409" t="s">
        <v>91</v>
      </c>
      <c r="C37" s="467">
        <v>42.35</v>
      </c>
      <c r="D37" s="401">
        <v>27.75</v>
      </c>
    </row>
    <row r="38" spans="1:4" s="384" customFormat="1" ht="33">
      <c r="A38" s="439">
        <v>5</v>
      </c>
      <c r="B38" s="409" t="s">
        <v>93</v>
      </c>
      <c r="C38" s="450">
        <v>44.6</v>
      </c>
      <c r="D38" s="401">
        <v>21.75</v>
      </c>
    </row>
    <row r="39" spans="1:4" s="384" customFormat="1" ht="45" customHeight="1">
      <c r="A39" s="439">
        <v>6</v>
      </c>
      <c r="B39" s="417" t="s">
        <v>72</v>
      </c>
      <c r="C39" s="463">
        <v>280</v>
      </c>
      <c r="D39" s="402">
        <v>476</v>
      </c>
    </row>
    <row r="40" spans="1:4" s="384" customFormat="1" ht="35.25" customHeight="1">
      <c r="A40" s="439">
        <v>7</v>
      </c>
      <c r="B40" s="417" t="s">
        <v>105</v>
      </c>
      <c r="C40" s="463"/>
      <c r="D40" s="402"/>
    </row>
    <row r="41" spans="1:4" s="384" customFormat="1" ht="27" customHeight="1">
      <c r="A41" s="428"/>
      <c r="B41" s="409" t="s">
        <v>103</v>
      </c>
      <c r="C41" s="450">
        <v>20</v>
      </c>
      <c r="D41" s="402">
        <v>10</v>
      </c>
    </row>
    <row r="42" spans="1:4" s="384" customFormat="1" ht="22.5" customHeight="1">
      <c r="A42" s="428"/>
      <c r="B42" s="409" t="s">
        <v>104</v>
      </c>
      <c r="C42" s="456">
        <v>360</v>
      </c>
      <c r="D42" s="402">
        <v>475</v>
      </c>
    </row>
    <row r="43" spans="1:4" s="384" customFormat="1" ht="22.5" customHeight="1">
      <c r="A43" s="428"/>
      <c r="B43" s="409" t="s">
        <v>101</v>
      </c>
      <c r="C43" s="456">
        <v>360</v>
      </c>
      <c r="D43" s="402">
        <v>475</v>
      </c>
    </row>
    <row r="44" spans="1:4" s="384" customFormat="1" ht="22.5" customHeight="1">
      <c r="A44" s="428"/>
      <c r="B44" s="409" t="s">
        <v>102</v>
      </c>
      <c r="C44" s="456">
        <v>360</v>
      </c>
      <c r="D44" s="402">
        <v>475</v>
      </c>
    </row>
    <row r="45" spans="1:4" s="384" customFormat="1" ht="22.5" customHeight="1">
      <c r="A45" s="428"/>
      <c r="B45" s="409" t="s">
        <v>99</v>
      </c>
      <c r="C45" s="456">
        <v>360</v>
      </c>
      <c r="D45" s="402">
        <v>475</v>
      </c>
    </row>
    <row r="46" spans="1:4" s="384" customFormat="1" ht="22.5" customHeight="1">
      <c r="A46" s="428"/>
      <c r="B46" s="409" t="s">
        <v>100</v>
      </c>
      <c r="C46" s="456">
        <v>360</v>
      </c>
      <c r="D46" s="402">
        <v>475</v>
      </c>
    </row>
    <row r="47" spans="1:4" s="384" customFormat="1" ht="22.5" customHeight="1">
      <c r="A47" s="428"/>
      <c r="B47" s="409" t="s">
        <v>106</v>
      </c>
      <c r="C47" s="456">
        <v>360</v>
      </c>
      <c r="D47" s="402">
        <v>475</v>
      </c>
    </row>
    <row r="48" spans="1:4" s="384" customFormat="1" ht="22.5" customHeight="1">
      <c r="A48" s="428"/>
      <c r="B48" s="409" t="s">
        <v>107</v>
      </c>
      <c r="C48" s="456">
        <v>360</v>
      </c>
      <c r="D48" s="402">
        <v>475</v>
      </c>
    </row>
    <row r="49" spans="1:4" s="384" customFormat="1" ht="22.5" customHeight="1">
      <c r="A49" s="428"/>
      <c r="B49" s="409" t="s">
        <v>108</v>
      </c>
      <c r="C49" s="456">
        <v>360</v>
      </c>
      <c r="D49" s="402">
        <v>475</v>
      </c>
    </row>
    <row r="50" spans="1:4" s="384" customFormat="1" ht="22.5" customHeight="1">
      <c r="A50" s="428"/>
      <c r="B50" s="409" t="s">
        <v>109</v>
      </c>
      <c r="C50" s="468">
        <v>360</v>
      </c>
      <c r="D50" s="402">
        <v>475</v>
      </c>
    </row>
    <row r="51" spans="1:4" s="384" customFormat="1" ht="36.75" customHeight="1">
      <c r="A51" s="439">
        <v>8</v>
      </c>
      <c r="B51" s="409" t="s">
        <v>59</v>
      </c>
      <c r="C51" s="468">
        <v>580</v>
      </c>
      <c r="D51" s="403">
        <v>3200</v>
      </c>
    </row>
    <row r="52" spans="1:4" s="384" customFormat="1" ht="56.25" customHeight="1">
      <c r="A52" s="439">
        <v>9</v>
      </c>
      <c r="B52" s="417" t="s">
        <v>85</v>
      </c>
      <c r="C52" s="469">
        <v>1080</v>
      </c>
      <c r="D52" s="404">
        <v>4736.42</v>
      </c>
    </row>
    <row r="53" spans="1:4" s="384" customFormat="1" ht="47.25">
      <c r="A53" s="439">
        <v>10</v>
      </c>
      <c r="B53" s="417" t="s">
        <v>83</v>
      </c>
      <c r="C53" s="469">
        <v>2100</v>
      </c>
      <c r="D53" s="433">
        <v>3696</v>
      </c>
    </row>
    <row r="54" spans="1:4" s="384" customFormat="1" ht="26.25" customHeight="1" hidden="1">
      <c r="A54" s="428"/>
      <c r="B54" s="409" t="s">
        <v>60</v>
      </c>
      <c r="C54" s="450"/>
      <c r="D54" s="434">
        <f>D55</f>
        <v>0</v>
      </c>
    </row>
    <row r="55" spans="1:4" s="384" customFormat="1" ht="15.75" hidden="1">
      <c r="A55" s="428"/>
      <c r="B55" s="410" t="s">
        <v>9</v>
      </c>
      <c r="C55" s="464"/>
      <c r="D55" s="435">
        <f>D56</f>
        <v>0</v>
      </c>
    </row>
    <row r="56" spans="1:4" s="384" customFormat="1" ht="15.75" customHeight="1" hidden="1">
      <c r="A56" s="428"/>
      <c r="B56" s="416" t="s">
        <v>10</v>
      </c>
      <c r="C56" s="455"/>
      <c r="D56" s="436">
        <f>D57+D58</f>
        <v>0</v>
      </c>
    </row>
    <row r="57" spans="1:4" s="384" customFormat="1" ht="15.75" hidden="1">
      <c r="A57" s="428"/>
      <c r="B57" s="416"/>
      <c r="C57" s="455"/>
      <c r="D57" s="436"/>
    </row>
    <row r="58" spans="1:4" s="384" customFormat="1" ht="15.75" hidden="1">
      <c r="A58" s="428"/>
      <c r="B58" s="408"/>
      <c r="C58" s="462"/>
      <c r="D58" s="437"/>
    </row>
    <row r="59" spans="1:4" s="384" customFormat="1" ht="33" hidden="1">
      <c r="A59" s="428"/>
      <c r="B59" s="409" t="s">
        <v>61</v>
      </c>
      <c r="C59" s="450"/>
      <c r="D59" s="434">
        <f>D60</f>
        <v>0</v>
      </c>
    </row>
    <row r="60" spans="1:4" s="384" customFormat="1" ht="15.75" hidden="1">
      <c r="A60" s="428"/>
      <c r="B60" s="406" t="s">
        <v>9</v>
      </c>
      <c r="C60" s="453"/>
      <c r="D60" s="435">
        <f>D61</f>
        <v>0</v>
      </c>
    </row>
    <row r="61" spans="1:4" s="384" customFormat="1" ht="15.75" customHeight="1" hidden="1">
      <c r="A61" s="428"/>
      <c r="B61" s="416" t="s">
        <v>10</v>
      </c>
      <c r="C61" s="455"/>
      <c r="D61" s="436">
        <f>D62+D63+D64</f>
        <v>0</v>
      </c>
    </row>
    <row r="62" spans="1:4" s="384" customFormat="1" ht="15.75" hidden="1">
      <c r="A62" s="428"/>
      <c r="B62" s="416"/>
      <c r="C62" s="455"/>
      <c r="D62" s="436"/>
    </row>
    <row r="63" spans="1:4" s="384" customFormat="1" ht="15.75" hidden="1">
      <c r="A63" s="428"/>
      <c r="B63" s="416"/>
      <c r="C63" s="455"/>
      <c r="D63" s="436"/>
    </row>
    <row r="64" spans="1:4" s="384" customFormat="1" ht="15.75" hidden="1">
      <c r="A64" s="428"/>
      <c r="B64" s="408"/>
      <c r="C64" s="462"/>
      <c r="D64" s="437"/>
    </row>
    <row r="65" spans="1:4" s="384" customFormat="1" ht="16.5" hidden="1">
      <c r="A65" s="428"/>
      <c r="B65" s="417" t="s">
        <v>62</v>
      </c>
      <c r="C65" s="463"/>
      <c r="D65" s="438">
        <f>D66</f>
        <v>0</v>
      </c>
    </row>
    <row r="66" spans="1:4" s="384" customFormat="1" ht="15.75" hidden="1">
      <c r="A66" s="428"/>
      <c r="B66" s="406" t="s">
        <v>9</v>
      </c>
      <c r="C66" s="453"/>
      <c r="D66" s="435">
        <f>D67</f>
        <v>0</v>
      </c>
    </row>
    <row r="67" spans="1:4" s="384" customFormat="1" ht="15.75" customHeight="1" hidden="1">
      <c r="A67" s="428"/>
      <c r="B67" s="416" t="s">
        <v>10</v>
      </c>
      <c r="C67" s="455"/>
      <c r="D67" s="436">
        <f>D68+D69</f>
        <v>0</v>
      </c>
    </row>
    <row r="68" spans="1:4" s="384" customFormat="1" ht="15.75" hidden="1">
      <c r="A68" s="428"/>
      <c r="B68" s="416"/>
      <c r="C68" s="455"/>
      <c r="D68" s="436"/>
    </row>
    <row r="69" spans="1:4" s="384" customFormat="1" ht="15.75" hidden="1">
      <c r="A69" s="428"/>
      <c r="B69" s="408"/>
      <c r="C69" s="462"/>
      <c r="D69" s="437"/>
    </row>
    <row r="70" spans="1:4" s="384" customFormat="1" ht="31.5" hidden="1">
      <c r="A70" s="428"/>
      <c r="B70" s="417" t="s">
        <v>63</v>
      </c>
      <c r="C70" s="463"/>
      <c r="D70" s="438">
        <f>D71</f>
        <v>0</v>
      </c>
    </row>
    <row r="71" spans="1:4" s="384" customFormat="1" ht="15.75" hidden="1">
      <c r="A71" s="428"/>
      <c r="B71" s="406" t="s">
        <v>9</v>
      </c>
      <c r="C71" s="453"/>
      <c r="D71" s="435">
        <f>D72</f>
        <v>0</v>
      </c>
    </row>
    <row r="72" spans="1:4" s="384" customFormat="1" ht="15.75" customHeight="1" hidden="1">
      <c r="A72" s="428"/>
      <c r="B72" s="416" t="s">
        <v>10</v>
      </c>
      <c r="C72" s="455"/>
      <c r="D72" s="436">
        <f>D73+D74</f>
        <v>0</v>
      </c>
    </row>
    <row r="73" spans="1:4" s="384" customFormat="1" ht="15.75" hidden="1">
      <c r="A73" s="428"/>
      <c r="B73" s="416"/>
      <c r="C73" s="455"/>
      <c r="D73" s="436"/>
    </row>
    <row r="74" spans="1:4" s="384" customFormat="1" ht="15.75" hidden="1">
      <c r="A74" s="428"/>
      <c r="B74" s="408"/>
      <c r="C74" s="462"/>
      <c r="D74" s="437"/>
    </row>
    <row r="75" spans="1:4" ht="28.5" customHeight="1">
      <c r="A75" s="439">
        <v>11</v>
      </c>
      <c r="B75" s="430" t="s">
        <v>62</v>
      </c>
      <c r="C75" s="470">
        <v>3749</v>
      </c>
      <c r="D75" s="432">
        <v>3700</v>
      </c>
    </row>
    <row r="76" spans="1:4" ht="41.25" customHeight="1">
      <c r="A76" s="439">
        <v>12</v>
      </c>
      <c r="B76" s="431" t="s">
        <v>63</v>
      </c>
      <c r="C76" s="471">
        <v>3000</v>
      </c>
      <c r="D76" s="432">
        <v>1800</v>
      </c>
    </row>
    <row r="77" spans="1:4" ht="36.75" customHeight="1">
      <c r="A77" s="439">
        <v>13</v>
      </c>
      <c r="B77" s="420" t="s">
        <v>92</v>
      </c>
      <c r="C77" s="472">
        <v>909</v>
      </c>
      <c r="D77" s="421">
        <v>417</v>
      </c>
    </row>
    <row r="78" spans="1:4" ht="36.75" customHeight="1">
      <c r="A78" s="439">
        <v>14</v>
      </c>
      <c r="B78" s="418" t="s">
        <v>89</v>
      </c>
      <c r="C78" s="473">
        <v>1660</v>
      </c>
      <c r="D78" s="421">
        <v>2420</v>
      </c>
    </row>
    <row r="79" spans="1:4" ht="36.75" customHeight="1">
      <c r="A79" s="429">
        <v>15</v>
      </c>
      <c r="B79" s="418" t="s">
        <v>87</v>
      </c>
      <c r="C79" s="473">
        <v>2400</v>
      </c>
      <c r="D79" s="421">
        <v>3400</v>
      </c>
    </row>
    <row r="80" spans="1:4" ht="32.25" customHeight="1" thickBot="1">
      <c r="A80" s="440"/>
      <c r="B80" s="441" t="s">
        <v>110</v>
      </c>
      <c r="C80" s="474">
        <f>C14+C26+C27+C28+C29+C30+C31+C32+C33+C34+C35+C36+C37+C38+C39+C41+C42+C43+C44+C45+C46+C47+C48+C49+C50+C51+C52+C53+C75+C76+C77+C78+C79</f>
        <v>25060.35</v>
      </c>
      <c r="D80" s="475">
        <f>D14+D26+D27+D28+D29+D30+D31+D32+D33+D34+D35+D36+D37+D38+D39+D41+D42+D43+D44+D45+D46+D47+D48+D49+D50+D51+D52+D53+D75+D76+D77+D78+D79</f>
        <v>32908.37</v>
      </c>
    </row>
    <row r="81" spans="2:4" ht="16.5" thickTop="1">
      <c r="B81" s="386"/>
      <c r="C81" s="389"/>
      <c r="D81" s="419"/>
    </row>
    <row r="82" spans="2:4" ht="15.75">
      <c r="B82" s="386"/>
      <c r="C82" s="389"/>
      <c r="D82" s="422">
        <f>D79+D78+D77+D76+D75+D53+D52+D51+D50+D49+D48+D47+D46+D45+D44+D43+D42+D40+D39+D38+D37+D36+D35+D34+D33+D32+D31+D30+D29+D28+D27+D25+D14+D26+D41</f>
        <v>32908.369999999995</v>
      </c>
    </row>
    <row r="83" spans="2:4" ht="15.75">
      <c r="B83" s="386"/>
      <c r="C83" s="389"/>
      <c r="D83" s="389"/>
    </row>
    <row r="84" spans="2:4" ht="15.75">
      <c r="B84" s="386"/>
      <c r="C84" s="389"/>
      <c r="D84" s="423">
        <f>21813.87+5500+558+575+563+1019.75+569+590.75+573+565+581</f>
        <v>32908.369999999995</v>
      </c>
    </row>
    <row r="85" spans="2:4" ht="15.75">
      <c r="B85" s="386"/>
      <c r="C85" s="389"/>
      <c r="D85" s="389"/>
    </row>
    <row r="86" spans="2:4" ht="15.75">
      <c r="B86" s="386"/>
      <c r="C86" s="389"/>
      <c r="D86" s="422">
        <f>D82-D84</f>
        <v>0</v>
      </c>
    </row>
    <row r="87" spans="2:4" ht="15.75">
      <c r="B87" s="386"/>
      <c r="C87" s="389"/>
      <c r="D87" s="389"/>
    </row>
    <row r="88" spans="2:4" ht="15.75">
      <c r="B88" s="386"/>
      <c r="C88" s="389"/>
      <c r="D88" s="389"/>
    </row>
    <row r="89" spans="2:4" ht="15.75">
      <c r="B89" s="386"/>
      <c r="C89" s="389"/>
      <c r="D89" s="389"/>
    </row>
    <row r="90" spans="2:4" ht="15.75">
      <c r="B90" s="386"/>
      <c r="C90" s="389"/>
      <c r="D90" s="389"/>
    </row>
    <row r="91" spans="2:4" ht="15.75">
      <c r="B91" s="386"/>
      <c r="C91" s="389"/>
      <c r="D91" s="389"/>
    </row>
    <row r="92" spans="2:4" ht="15.75">
      <c r="B92" s="386"/>
      <c r="C92" s="389"/>
      <c r="D92" s="389"/>
    </row>
    <row r="93" spans="2:4" ht="15.75">
      <c r="B93" s="386"/>
      <c r="C93" s="389"/>
      <c r="D93" s="389"/>
    </row>
    <row r="94" spans="2:4" ht="15.75">
      <c r="B94" s="386"/>
      <c r="C94" s="389"/>
      <c r="D94" s="389"/>
    </row>
    <row r="95" spans="2:4" ht="15.75">
      <c r="B95" s="386"/>
      <c r="C95" s="389"/>
      <c r="D95" s="389"/>
    </row>
    <row r="96" spans="2:4" ht="15.75">
      <c r="B96" s="386"/>
      <c r="C96" s="389"/>
      <c r="D96" s="389"/>
    </row>
    <row r="97" spans="2:4" ht="15.75">
      <c r="B97" s="386"/>
      <c r="C97" s="389"/>
      <c r="D97" s="389"/>
    </row>
    <row r="98" spans="2:4" ht="15.75">
      <c r="B98" s="386"/>
      <c r="C98" s="389"/>
      <c r="D98" s="389"/>
    </row>
    <row r="99" spans="2:4" ht="15.75">
      <c r="B99" s="386"/>
      <c r="C99" s="389"/>
      <c r="D99" s="389"/>
    </row>
    <row r="100" spans="2:4" ht="15.75">
      <c r="B100" s="386"/>
      <c r="C100" s="389"/>
      <c r="D100" s="389"/>
    </row>
    <row r="101" spans="2:4" ht="15.75">
      <c r="B101" s="386"/>
      <c r="C101" s="389"/>
      <c r="D101" s="389"/>
    </row>
    <row r="102" spans="2:4" ht="15.75">
      <c r="B102" s="386"/>
      <c r="C102" s="389"/>
      <c r="D102" s="389"/>
    </row>
    <row r="103" spans="2:4" ht="15.75">
      <c r="B103" s="386"/>
      <c r="C103" s="389"/>
      <c r="D103" s="389"/>
    </row>
    <row r="104" spans="2:4" ht="15.75">
      <c r="B104" s="386"/>
      <c r="C104" s="389"/>
      <c r="D104" s="389"/>
    </row>
    <row r="105" spans="2:4" ht="15.75">
      <c r="B105" s="386"/>
      <c r="C105" s="389"/>
      <c r="D105" s="389"/>
    </row>
    <row r="106" spans="2:4" ht="15.75">
      <c r="B106" s="386"/>
      <c r="C106" s="389"/>
      <c r="D106" s="389"/>
    </row>
    <row r="107" spans="2:4" ht="15.75">
      <c r="B107" s="386"/>
      <c r="C107" s="389"/>
      <c r="D107" s="389"/>
    </row>
    <row r="108" spans="2:4" ht="15.75">
      <c r="B108" s="386"/>
      <c r="C108" s="389"/>
      <c r="D108" s="389"/>
    </row>
  </sheetData>
  <sheetProtection/>
  <mergeCells count="5">
    <mergeCell ref="B1:D1"/>
    <mergeCell ref="D5:D7"/>
    <mergeCell ref="B2:D2"/>
    <mergeCell ref="B3:D3"/>
    <mergeCell ref="B5:B7"/>
  </mergeCells>
  <printOptions/>
  <pageMargins left="0.55" right="0.17" top="0.2" bottom="0.23" header="0.17" footer="0.1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O1064"/>
  <sheetViews>
    <sheetView zoomScalePageLayoutView="0" workbookViewId="0" topLeftCell="A46">
      <selection activeCell="E50" sqref="E50"/>
    </sheetView>
  </sheetViews>
  <sheetFormatPr defaultColWidth="9.140625" defaultRowHeight="12.75"/>
  <cols>
    <col min="1" max="1" width="3.8515625" style="3" customWidth="1"/>
    <col min="2" max="3" width="3.28125" style="3" customWidth="1"/>
    <col min="4" max="4" width="3.8515625" style="3" customWidth="1"/>
    <col min="5" max="5" width="31.8515625" style="3" customWidth="1"/>
    <col min="6" max="6" width="15.00390625" style="3" customWidth="1"/>
    <col min="7" max="7" width="14.28125" style="3" customWidth="1"/>
    <col min="8" max="8" width="12.7109375" style="33" customWidth="1"/>
    <col min="9" max="9" width="13.140625" style="1" customWidth="1"/>
    <col min="10" max="10" width="12.140625" style="3" customWidth="1"/>
    <col min="11" max="11" width="10.7109375" style="33" customWidth="1"/>
    <col min="12" max="12" width="13.28125" style="3" customWidth="1"/>
    <col min="13" max="13" width="14.7109375" style="132" customWidth="1"/>
    <col min="14" max="14" width="15.140625" style="132" customWidth="1"/>
    <col min="15" max="15" width="18.140625" style="132" customWidth="1"/>
    <col min="16" max="16" width="11.57421875" style="3" bestFit="1" customWidth="1"/>
    <col min="17" max="16384" width="9.140625" style="3" customWidth="1"/>
  </cols>
  <sheetData>
    <row r="1" spans="1:14" ht="18">
      <c r="A1" s="483" t="s">
        <v>33</v>
      </c>
      <c r="B1" s="483"/>
      <c r="C1" s="483"/>
      <c r="D1" s="483"/>
      <c r="E1" s="483"/>
      <c r="F1" s="483"/>
      <c r="G1" s="483"/>
      <c r="H1" s="483"/>
      <c r="I1" s="483"/>
      <c r="J1" s="483"/>
      <c r="K1" s="483"/>
      <c r="L1" s="483"/>
      <c r="N1" s="217"/>
    </row>
    <row r="2" spans="1:12" ht="18">
      <c r="A2" s="483" t="s">
        <v>1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</row>
    <row r="3" spans="1:12" ht="18">
      <c r="A3" s="483" t="s">
        <v>34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</row>
    <row r="4" spans="1:12" ht="16.5" customHeight="1">
      <c r="A4" s="32"/>
      <c r="B4" s="31"/>
      <c r="C4" s="31"/>
      <c r="D4" s="31"/>
      <c r="E4" s="31"/>
      <c r="F4" s="31"/>
      <c r="G4" s="31"/>
      <c r="H4" s="34"/>
      <c r="I4" s="35"/>
      <c r="J4" s="31"/>
      <c r="K4" s="34"/>
      <c r="L4" s="358" t="s">
        <v>11</v>
      </c>
    </row>
    <row r="5" spans="1:12" ht="36" customHeight="1">
      <c r="A5" s="501" t="s">
        <v>3</v>
      </c>
      <c r="B5" s="504" t="s">
        <v>4</v>
      </c>
      <c r="C5" s="504" t="s">
        <v>5</v>
      </c>
      <c r="D5" s="504" t="s">
        <v>6</v>
      </c>
      <c r="E5" s="513" t="s">
        <v>7</v>
      </c>
      <c r="F5" s="224">
        <v>2016</v>
      </c>
      <c r="G5" s="507" t="s">
        <v>68</v>
      </c>
      <c r="H5" s="510" t="s">
        <v>69</v>
      </c>
      <c r="I5" s="507" t="s">
        <v>70</v>
      </c>
      <c r="J5" s="172">
        <v>2019</v>
      </c>
      <c r="K5" s="172">
        <v>2020</v>
      </c>
      <c r="L5" s="173" t="s">
        <v>71</v>
      </c>
    </row>
    <row r="6" spans="1:12" ht="17.25">
      <c r="A6" s="502"/>
      <c r="B6" s="505"/>
      <c r="C6" s="505"/>
      <c r="D6" s="505"/>
      <c r="E6" s="514"/>
      <c r="F6" s="225" t="s">
        <v>66</v>
      </c>
      <c r="G6" s="508"/>
      <c r="H6" s="511"/>
      <c r="I6" s="508"/>
      <c r="J6" s="499" t="s">
        <v>20</v>
      </c>
      <c r="K6" s="499"/>
      <c r="L6" s="174"/>
    </row>
    <row r="7" spans="1:12" ht="23.25" customHeight="1">
      <c r="A7" s="503"/>
      <c r="B7" s="506"/>
      <c r="C7" s="506"/>
      <c r="D7" s="506"/>
      <c r="E7" s="515"/>
      <c r="F7" s="229"/>
      <c r="G7" s="509"/>
      <c r="H7" s="512"/>
      <c r="I7" s="509"/>
      <c r="J7" s="181"/>
      <c r="K7" s="182"/>
      <c r="L7" s="175"/>
    </row>
    <row r="8" spans="1:12" ht="17.25">
      <c r="A8" s="167"/>
      <c r="B8" s="168"/>
      <c r="C8" s="169"/>
      <c r="D8" s="169"/>
      <c r="E8" s="170" t="s">
        <v>8</v>
      </c>
      <c r="F8" s="171">
        <f aca="true" t="shared" si="0" ref="F8:L8">F10+F20+F32+F42</f>
        <v>16169218.120000001</v>
      </c>
      <c r="G8" s="171">
        <f t="shared" si="0"/>
        <v>8039000</v>
      </c>
      <c r="H8" s="171">
        <f t="shared" si="0"/>
        <v>4013873.58</v>
      </c>
      <c r="I8" s="171">
        <f t="shared" si="0"/>
        <v>5500000</v>
      </c>
      <c r="J8" s="171">
        <f t="shared" si="0"/>
        <v>0</v>
      </c>
      <c r="K8" s="171">
        <f t="shared" si="0"/>
        <v>0</v>
      </c>
      <c r="L8" s="211">
        <f t="shared" si="0"/>
        <v>5500000</v>
      </c>
    </row>
    <row r="9" spans="1:12" ht="10.5" customHeight="1">
      <c r="A9" s="60"/>
      <c r="B9" s="119"/>
      <c r="C9" s="120"/>
      <c r="D9" s="120"/>
      <c r="E9" s="124"/>
      <c r="F9" s="121"/>
      <c r="G9" s="121"/>
      <c r="H9" s="121"/>
      <c r="I9" s="121"/>
      <c r="J9" s="121"/>
      <c r="K9" s="121"/>
      <c r="L9" s="122"/>
    </row>
    <row r="10" spans="1:12" ht="17.25">
      <c r="A10" s="75">
        <v>9</v>
      </c>
      <c r="B10" s="41"/>
      <c r="C10" s="41"/>
      <c r="D10" s="41"/>
      <c r="E10" s="42" t="s">
        <v>60</v>
      </c>
      <c r="F10" s="53">
        <f aca="true" t="shared" si="1" ref="F10:K10">F11</f>
        <v>614491.66</v>
      </c>
      <c r="G10" s="53">
        <f t="shared" si="1"/>
        <v>40000</v>
      </c>
      <c r="H10" s="53">
        <f t="shared" si="1"/>
        <v>9723.58</v>
      </c>
      <c r="I10" s="176">
        <f t="shared" si="1"/>
        <v>0</v>
      </c>
      <c r="J10" s="53">
        <f t="shared" si="1"/>
        <v>0</v>
      </c>
      <c r="K10" s="53">
        <f t="shared" si="1"/>
        <v>0</v>
      </c>
      <c r="L10" s="76">
        <f>I10+J10+K10</f>
        <v>0</v>
      </c>
    </row>
    <row r="11" spans="1:12" ht="15.75">
      <c r="A11" s="44"/>
      <c r="B11" s="11"/>
      <c r="C11" s="11"/>
      <c r="D11" s="11"/>
      <c r="E11" s="8" t="s">
        <v>9</v>
      </c>
      <c r="F11" s="9">
        <f>F13</f>
        <v>614491.66</v>
      </c>
      <c r="G11" s="9">
        <f>G17</f>
        <v>40000</v>
      </c>
      <c r="H11" s="9">
        <f>H17</f>
        <v>9723.58</v>
      </c>
      <c r="I11" s="177">
        <f>I17</f>
        <v>0</v>
      </c>
      <c r="J11" s="9">
        <f>J17</f>
        <v>0</v>
      </c>
      <c r="K11" s="9">
        <f>K17</f>
        <v>0</v>
      </c>
      <c r="L11" s="83">
        <f>I11+J11+K11</f>
        <v>0</v>
      </c>
    </row>
    <row r="12" spans="1:12" ht="8.25" customHeight="1">
      <c r="A12" s="44"/>
      <c r="B12" s="11"/>
      <c r="C12" s="11"/>
      <c r="D12" s="11"/>
      <c r="E12" s="8"/>
      <c r="F12" s="9"/>
      <c r="G12" s="9"/>
      <c r="H12" s="9"/>
      <c r="I12" s="177"/>
      <c r="J12" s="9"/>
      <c r="K12" s="9"/>
      <c r="L12" s="83"/>
    </row>
    <row r="13" spans="1:12" ht="15.75">
      <c r="A13" s="44"/>
      <c r="B13" s="482">
        <v>2502</v>
      </c>
      <c r="C13" s="482"/>
      <c r="D13" s="11"/>
      <c r="E13" s="11" t="s">
        <v>10</v>
      </c>
      <c r="F13" s="12">
        <f aca="true" t="shared" si="2" ref="F13:K13">F14+F15</f>
        <v>614491.66</v>
      </c>
      <c r="G13" s="12">
        <f t="shared" si="2"/>
        <v>0</v>
      </c>
      <c r="H13" s="12">
        <f t="shared" si="2"/>
        <v>0</v>
      </c>
      <c r="I13" s="178">
        <f t="shared" si="2"/>
        <v>0</v>
      </c>
      <c r="J13" s="12">
        <f t="shared" si="2"/>
        <v>0</v>
      </c>
      <c r="K13" s="12">
        <f t="shared" si="2"/>
        <v>0</v>
      </c>
      <c r="L13" s="81">
        <f>I13+J13+K13</f>
        <v>0</v>
      </c>
    </row>
    <row r="14" spans="1:14" ht="15.75">
      <c r="A14" s="44"/>
      <c r="B14" s="11"/>
      <c r="C14" s="11"/>
      <c r="D14" s="11">
        <v>12</v>
      </c>
      <c r="E14" s="11"/>
      <c r="F14" s="12">
        <v>447941.71</v>
      </c>
      <c r="G14" s="12">
        <v>0</v>
      </c>
      <c r="H14" s="256">
        <v>0</v>
      </c>
      <c r="I14" s="178">
        <v>0</v>
      </c>
      <c r="J14" s="21">
        <v>0</v>
      </c>
      <c r="K14" s="21">
        <v>0</v>
      </c>
      <c r="L14" s="74">
        <f>I14+J14+K14</f>
        <v>0</v>
      </c>
      <c r="N14" s="132">
        <f>447941713.06/1000</f>
        <v>447941.71306</v>
      </c>
    </row>
    <row r="15" spans="1:14" ht="15.75">
      <c r="A15" s="44"/>
      <c r="B15" s="11"/>
      <c r="C15" s="11"/>
      <c r="D15" s="11">
        <v>17</v>
      </c>
      <c r="E15" s="11"/>
      <c r="F15" s="12">
        <v>166549.95</v>
      </c>
      <c r="G15" s="12">
        <v>0</v>
      </c>
      <c r="H15" s="12">
        <v>0</v>
      </c>
      <c r="I15" s="178">
        <v>0</v>
      </c>
      <c r="J15" s="21">
        <v>0</v>
      </c>
      <c r="K15" s="21">
        <v>0</v>
      </c>
      <c r="L15" s="74">
        <f>I15+J15+K15</f>
        <v>0</v>
      </c>
      <c r="N15" s="132">
        <f>166549952.4/1000</f>
        <v>166549.9524</v>
      </c>
    </row>
    <row r="16" spans="1:12" ht="9" customHeight="1">
      <c r="A16" s="44"/>
      <c r="B16" s="11"/>
      <c r="C16" s="11"/>
      <c r="D16" s="11"/>
      <c r="E16" s="11"/>
      <c r="F16" s="12"/>
      <c r="G16" s="12"/>
      <c r="H16" s="12"/>
      <c r="I16" s="178"/>
      <c r="J16" s="21"/>
      <c r="K16" s="21"/>
      <c r="L16" s="74"/>
    </row>
    <row r="17" spans="1:12" ht="15.75">
      <c r="A17" s="44"/>
      <c r="B17" s="482">
        <v>2506</v>
      </c>
      <c r="C17" s="482"/>
      <c r="D17" s="11"/>
      <c r="E17" s="11" t="s">
        <v>10</v>
      </c>
      <c r="F17" s="12">
        <f aca="true" t="shared" si="3" ref="F17:K17">F18+F19</f>
        <v>0</v>
      </c>
      <c r="G17" s="12">
        <f t="shared" si="3"/>
        <v>40000</v>
      </c>
      <c r="H17" s="12">
        <f t="shared" si="3"/>
        <v>9723.58</v>
      </c>
      <c r="I17" s="178">
        <f t="shared" si="3"/>
        <v>0</v>
      </c>
      <c r="J17" s="12">
        <f t="shared" si="3"/>
        <v>0</v>
      </c>
      <c r="K17" s="12">
        <f t="shared" si="3"/>
        <v>0</v>
      </c>
      <c r="L17" s="81">
        <f>I17+J17+K17</f>
        <v>0</v>
      </c>
    </row>
    <row r="18" spans="1:12" ht="15.75">
      <c r="A18" s="44"/>
      <c r="B18" s="11"/>
      <c r="C18" s="11"/>
      <c r="D18" s="11">
        <v>12</v>
      </c>
      <c r="E18" s="11"/>
      <c r="F18" s="12">
        <v>0</v>
      </c>
      <c r="G18" s="12">
        <v>20000</v>
      </c>
      <c r="H18" s="21">
        <v>0</v>
      </c>
      <c r="I18" s="178">
        <v>0</v>
      </c>
      <c r="J18" s="21">
        <v>0</v>
      </c>
      <c r="K18" s="21">
        <v>0</v>
      </c>
      <c r="L18" s="74">
        <f>I18+J18+K18</f>
        <v>0</v>
      </c>
    </row>
    <row r="19" spans="1:15" ht="15.75">
      <c r="A19" s="45"/>
      <c r="B19" s="14"/>
      <c r="C19" s="14"/>
      <c r="D19" s="14">
        <v>17</v>
      </c>
      <c r="E19" s="14"/>
      <c r="F19" s="15">
        <v>0</v>
      </c>
      <c r="G19" s="15">
        <v>20000</v>
      </c>
      <c r="H19" s="15">
        <v>9723.58</v>
      </c>
      <c r="I19" s="179">
        <v>0</v>
      </c>
      <c r="J19" s="20">
        <v>0</v>
      </c>
      <c r="K19" s="20">
        <v>0</v>
      </c>
      <c r="L19" s="73">
        <f>I19+J19+K19</f>
        <v>0</v>
      </c>
      <c r="M19" s="132">
        <f>9723583.99/1000</f>
        <v>9723.583990000001</v>
      </c>
      <c r="N19" s="140">
        <f>15237537.51/1000</f>
        <v>15237.53751</v>
      </c>
      <c r="O19" s="132" t="s">
        <v>84</v>
      </c>
    </row>
    <row r="20" spans="1:12" ht="51.75">
      <c r="A20" s="80">
        <v>10</v>
      </c>
      <c r="B20" s="56"/>
      <c r="C20" s="56"/>
      <c r="D20" s="56"/>
      <c r="E20" s="42" t="s">
        <v>61</v>
      </c>
      <c r="F20" s="53">
        <f aca="true" t="shared" si="4" ref="F20:K20">F21</f>
        <v>3099634.15</v>
      </c>
      <c r="G20" s="53">
        <f t="shared" si="4"/>
        <v>1250000</v>
      </c>
      <c r="H20" s="53">
        <f t="shared" si="4"/>
        <v>777728.24</v>
      </c>
      <c r="I20" s="176">
        <f t="shared" si="4"/>
        <v>0</v>
      </c>
      <c r="J20" s="77">
        <f t="shared" si="4"/>
        <v>0</v>
      </c>
      <c r="K20" s="77">
        <f t="shared" si="4"/>
        <v>0</v>
      </c>
      <c r="L20" s="79">
        <f>I20+J20+K20</f>
        <v>0</v>
      </c>
    </row>
    <row r="21" spans="1:12" ht="15.75">
      <c r="A21" s="82"/>
      <c r="B21" s="8"/>
      <c r="C21" s="8"/>
      <c r="D21" s="8"/>
      <c r="E21" s="5" t="s">
        <v>9</v>
      </c>
      <c r="F21" s="9">
        <f>F23</f>
        <v>3099634.15</v>
      </c>
      <c r="G21" s="9">
        <f>G28</f>
        <v>1250000</v>
      </c>
      <c r="H21" s="9">
        <f>H28</f>
        <v>777728.24</v>
      </c>
      <c r="I21" s="177">
        <f>I28</f>
        <v>0</v>
      </c>
      <c r="J21" s="2">
        <f>J28</f>
        <v>0</v>
      </c>
      <c r="K21" s="2">
        <f>K28</f>
        <v>0</v>
      </c>
      <c r="L21" s="88">
        <f>I21+J21+K21</f>
        <v>0</v>
      </c>
    </row>
    <row r="22" spans="1:12" ht="8.25" customHeight="1">
      <c r="A22" s="82"/>
      <c r="B22" s="8"/>
      <c r="C22" s="8"/>
      <c r="D22" s="8"/>
      <c r="E22" s="5"/>
      <c r="F22" s="9"/>
      <c r="G22" s="9"/>
      <c r="H22" s="9"/>
      <c r="I22" s="177"/>
      <c r="J22" s="2"/>
      <c r="K22" s="2"/>
      <c r="L22" s="88"/>
    </row>
    <row r="23" spans="1:12" ht="15.75">
      <c r="A23" s="82"/>
      <c r="B23" s="482">
        <v>2202</v>
      </c>
      <c r="C23" s="482"/>
      <c r="D23" s="11"/>
      <c r="E23" s="11" t="s">
        <v>10</v>
      </c>
      <c r="F23" s="12">
        <f aca="true" t="shared" si="5" ref="F23:K23">F24+F25+F26</f>
        <v>3099634.15</v>
      </c>
      <c r="G23" s="12">
        <f t="shared" si="5"/>
        <v>0</v>
      </c>
      <c r="H23" s="12">
        <f t="shared" si="5"/>
        <v>0</v>
      </c>
      <c r="I23" s="178">
        <f t="shared" si="5"/>
        <v>0</v>
      </c>
      <c r="J23" s="12">
        <f t="shared" si="5"/>
        <v>0</v>
      </c>
      <c r="K23" s="12">
        <f t="shared" si="5"/>
        <v>0</v>
      </c>
      <c r="L23" s="81">
        <f>I23+J23+K23</f>
        <v>0</v>
      </c>
    </row>
    <row r="24" spans="1:14" ht="15.75">
      <c r="A24" s="82"/>
      <c r="B24" s="26"/>
      <c r="C24" s="26"/>
      <c r="D24" s="11">
        <v>12</v>
      </c>
      <c r="E24" s="11"/>
      <c r="F24" s="12">
        <v>1999999.37</v>
      </c>
      <c r="G24" s="12">
        <v>0</v>
      </c>
      <c r="H24" s="12">
        <v>0</v>
      </c>
      <c r="I24" s="178">
        <v>0</v>
      </c>
      <c r="J24" s="12">
        <v>0</v>
      </c>
      <c r="K24" s="12">
        <v>0</v>
      </c>
      <c r="L24" s="81">
        <f>I24+J24+K24</f>
        <v>0</v>
      </c>
      <c r="N24" s="132">
        <f>1999999365.97/1000</f>
        <v>1999999.36597</v>
      </c>
    </row>
    <row r="25" spans="1:14" ht="15.75">
      <c r="A25" s="82"/>
      <c r="B25" s="11"/>
      <c r="C25" s="11"/>
      <c r="D25" s="11">
        <v>13</v>
      </c>
      <c r="E25" s="11"/>
      <c r="F25" s="12">
        <v>1054991</v>
      </c>
      <c r="G25" s="12">
        <v>0</v>
      </c>
      <c r="H25" s="12">
        <v>0</v>
      </c>
      <c r="I25" s="178">
        <v>0</v>
      </c>
      <c r="J25" s="21">
        <v>0</v>
      </c>
      <c r="K25" s="21">
        <v>0</v>
      </c>
      <c r="L25" s="81">
        <f>I25+J25+K25</f>
        <v>0</v>
      </c>
      <c r="N25" s="132">
        <f>1054991000/1000</f>
        <v>1054991</v>
      </c>
    </row>
    <row r="26" spans="1:14" ht="15.75">
      <c r="A26" s="82"/>
      <c r="B26" s="11"/>
      <c r="C26" s="11"/>
      <c r="D26" s="11">
        <v>17</v>
      </c>
      <c r="E26" s="11"/>
      <c r="F26" s="12">
        <v>44643.78</v>
      </c>
      <c r="G26" s="12">
        <v>0</v>
      </c>
      <c r="H26" s="21">
        <v>0</v>
      </c>
      <c r="I26" s="178">
        <v>0</v>
      </c>
      <c r="J26" s="21">
        <v>0</v>
      </c>
      <c r="K26" s="21">
        <v>0</v>
      </c>
      <c r="L26" s="81">
        <f>I26+J26+K26</f>
        <v>0</v>
      </c>
      <c r="N26" s="132">
        <f>44643783.87/1000</f>
        <v>44643.78387</v>
      </c>
    </row>
    <row r="27" spans="1:12" ht="8.25" customHeight="1">
      <c r="A27" s="82"/>
      <c r="B27" s="8"/>
      <c r="C27" s="8"/>
      <c r="D27" s="8"/>
      <c r="E27" s="5"/>
      <c r="F27" s="9"/>
      <c r="G27" s="9"/>
      <c r="H27" s="9"/>
      <c r="I27" s="177"/>
      <c r="J27" s="2"/>
      <c r="K27" s="2"/>
      <c r="L27" s="88"/>
    </row>
    <row r="28" spans="1:12" ht="15.75">
      <c r="A28" s="44"/>
      <c r="B28" s="482">
        <v>2502</v>
      </c>
      <c r="C28" s="482"/>
      <c r="D28" s="11"/>
      <c r="E28" s="11" t="s">
        <v>10</v>
      </c>
      <c r="F28" s="12">
        <f aca="true" t="shared" si="6" ref="F28:K28">F29+F30+F31</f>
        <v>0</v>
      </c>
      <c r="G28" s="12">
        <f t="shared" si="6"/>
        <v>1250000</v>
      </c>
      <c r="H28" s="12">
        <f t="shared" si="6"/>
        <v>777728.24</v>
      </c>
      <c r="I28" s="178">
        <f t="shared" si="6"/>
        <v>0</v>
      </c>
      <c r="J28" s="12">
        <f t="shared" si="6"/>
        <v>0</v>
      </c>
      <c r="K28" s="12">
        <f t="shared" si="6"/>
        <v>0</v>
      </c>
      <c r="L28" s="81">
        <f aca="true" t="shared" si="7" ref="L28:L33">I28+J28+K28</f>
        <v>0</v>
      </c>
    </row>
    <row r="29" spans="1:13" ht="15.75">
      <c r="A29" s="44"/>
      <c r="B29" s="26"/>
      <c r="C29" s="26"/>
      <c r="D29" s="11">
        <v>12</v>
      </c>
      <c r="E29" s="11"/>
      <c r="F29" s="12">
        <v>0</v>
      </c>
      <c r="G29" s="12">
        <v>1000000</v>
      </c>
      <c r="H29" s="12">
        <v>765275.63</v>
      </c>
      <c r="I29" s="178">
        <v>0</v>
      </c>
      <c r="J29" s="12">
        <v>0</v>
      </c>
      <c r="K29" s="12">
        <v>0</v>
      </c>
      <c r="L29" s="81">
        <f t="shared" si="7"/>
        <v>0</v>
      </c>
      <c r="M29" s="132">
        <f>765275627.74/1000</f>
        <v>765275.62774</v>
      </c>
    </row>
    <row r="30" spans="1:12" ht="15.75">
      <c r="A30" s="44"/>
      <c r="B30" s="11"/>
      <c r="C30" s="11"/>
      <c r="D30" s="11">
        <v>13</v>
      </c>
      <c r="E30" s="11"/>
      <c r="F30" s="12">
        <v>0</v>
      </c>
      <c r="G30" s="12">
        <v>200000</v>
      </c>
      <c r="H30" s="12">
        <v>0</v>
      </c>
      <c r="I30" s="178">
        <v>0</v>
      </c>
      <c r="J30" s="21">
        <v>0</v>
      </c>
      <c r="K30" s="21">
        <v>0</v>
      </c>
      <c r="L30" s="81">
        <f t="shared" si="7"/>
        <v>0</v>
      </c>
    </row>
    <row r="31" spans="1:14" ht="15.75">
      <c r="A31" s="45"/>
      <c r="B31" s="14"/>
      <c r="C31" s="14"/>
      <c r="D31" s="14">
        <v>17</v>
      </c>
      <c r="E31" s="14"/>
      <c r="F31" s="15">
        <v>0</v>
      </c>
      <c r="G31" s="15">
        <v>50000</v>
      </c>
      <c r="H31" s="20">
        <v>12452.61</v>
      </c>
      <c r="I31" s="179">
        <v>0</v>
      </c>
      <c r="J31" s="20">
        <v>0</v>
      </c>
      <c r="K31" s="20">
        <v>0</v>
      </c>
      <c r="L31" s="81">
        <f t="shared" si="7"/>
        <v>0</v>
      </c>
      <c r="M31" s="132">
        <f>12452613.13/1000</f>
        <v>12452.613130000002</v>
      </c>
      <c r="N31" s="140">
        <f>15561363.41/1000</f>
        <v>15561.36341</v>
      </c>
    </row>
    <row r="32" spans="1:12" ht="32.25">
      <c r="A32" s="80">
        <v>11</v>
      </c>
      <c r="B32" s="56"/>
      <c r="C32" s="56"/>
      <c r="D32" s="56"/>
      <c r="E32" s="91" t="s">
        <v>62</v>
      </c>
      <c r="F32" s="85">
        <f aca="true" t="shared" si="8" ref="F32:K32">F33</f>
        <v>5265902.430000001</v>
      </c>
      <c r="G32" s="85">
        <f t="shared" si="8"/>
        <v>3749000</v>
      </c>
      <c r="H32" s="110">
        <f t="shared" si="8"/>
        <v>1644276.45</v>
      </c>
      <c r="I32" s="180">
        <f t="shared" si="8"/>
        <v>3700000</v>
      </c>
      <c r="J32" s="111">
        <f t="shared" si="8"/>
        <v>0</v>
      </c>
      <c r="K32" s="111">
        <f t="shared" si="8"/>
        <v>0</v>
      </c>
      <c r="L32" s="86">
        <f t="shared" si="7"/>
        <v>3700000</v>
      </c>
    </row>
    <row r="33" spans="1:12" ht="15.75">
      <c r="A33" s="44"/>
      <c r="B33" s="8"/>
      <c r="C33" s="8"/>
      <c r="D33" s="8"/>
      <c r="E33" s="5" t="s">
        <v>9</v>
      </c>
      <c r="F33" s="9">
        <f>F35</f>
        <v>5265902.430000001</v>
      </c>
      <c r="G33" s="9">
        <f>G39</f>
        <v>3749000</v>
      </c>
      <c r="H33" s="40">
        <f>H39</f>
        <v>1644276.45</v>
      </c>
      <c r="I33" s="177">
        <f>I39</f>
        <v>3700000</v>
      </c>
      <c r="J33" s="2">
        <f>J39</f>
        <v>0</v>
      </c>
      <c r="K33" s="2">
        <f>K39</f>
        <v>0</v>
      </c>
      <c r="L33" s="88">
        <f t="shared" si="7"/>
        <v>3700000</v>
      </c>
    </row>
    <row r="34" spans="1:12" ht="9" customHeight="1">
      <c r="A34" s="44"/>
      <c r="B34" s="8"/>
      <c r="C34" s="8"/>
      <c r="D34" s="8"/>
      <c r="E34" s="5"/>
      <c r="F34" s="9"/>
      <c r="G34" s="9"/>
      <c r="H34" s="40"/>
      <c r="I34" s="177"/>
      <c r="J34" s="2"/>
      <c r="K34" s="2"/>
      <c r="L34" s="88"/>
    </row>
    <row r="35" spans="1:12" ht="15.75">
      <c r="A35" s="44"/>
      <c r="B35" s="482">
        <v>2502</v>
      </c>
      <c r="C35" s="482"/>
      <c r="D35" s="11"/>
      <c r="E35" s="11" t="s">
        <v>10</v>
      </c>
      <c r="F35" s="12">
        <f aca="true" t="shared" si="9" ref="F35:K35">F36+F37</f>
        <v>5265902.430000001</v>
      </c>
      <c r="G35" s="12">
        <f t="shared" si="9"/>
        <v>0</v>
      </c>
      <c r="H35" s="12">
        <f t="shared" si="9"/>
        <v>0</v>
      </c>
      <c r="I35" s="178">
        <f t="shared" si="9"/>
        <v>0</v>
      </c>
      <c r="J35" s="12">
        <f t="shared" si="9"/>
        <v>0</v>
      </c>
      <c r="K35" s="12">
        <f t="shared" si="9"/>
        <v>0</v>
      </c>
      <c r="L35" s="68">
        <f>I35+J35+K35</f>
        <v>0</v>
      </c>
    </row>
    <row r="36" spans="1:14" ht="15.75">
      <c r="A36" s="44"/>
      <c r="B36" s="11"/>
      <c r="C36" s="11"/>
      <c r="D36" s="11">
        <v>12</v>
      </c>
      <c r="E36" s="11"/>
      <c r="F36" s="12">
        <v>5223591.36</v>
      </c>
      <c r="G36" s="12">
        <v>0</v>
      </c>
      <c r="H36" s="21">
        <v>0</v>
      </c>
      <c r="I36" s="178">
        <v>0</v>
      </c>
      <c r="J36" s="21">
        <v>0</v>
      </c>
      <c r="K36" s="21">
        <v>0</v>
      </c>
      <c r="L36" s="68">
        <f>I36+J36+K36</f>
        <v>0</v>
      </c>
      <c r="N36" s="132">
        <f>5223591357.65/1000</f>
        <v>5223591.35765</v>
      </c>
    </row>
    <row r="37" spans="1:14" ht="15.75">
      <c r="A37" s="44"/>
      <c r="B37" s="11"/>
      <c r="C37" s="11"/>
      <c r="D37" s="11">
        <v>17</v>
      </c>
      <c r="E37" s="11"/>
      <c r="F37" s="12">
        <v>42311.07</v>
      </c>
      <c r="G37" s="12">
        <v>0</v>
      </c>
      <c r="H37" s="21">
        <v>0</v>
      </c>
      <c r="I37" s="178">
        <v>0</v>
      </c>
      <c r="J37" s="21">
        <v>0</v>
      </c>
      <c r="K37" s="21">
        <f>0</f>
        <v>0</v>
      </c>
      <c r="L37" s="68">
        <f>I37+J37+K37</f>
        <v>0</v>
      </c>
      <c r="N37" s="132">
        <f>42311066.91/1000</f>
        <v>42311.066909999994</v>
      </c>
    </row>
    <row r="38" spans="1:12" ht="9.75" customHeight="1">
      <c r="A38" s="44"/>
      <c r="B38" s="8"/>
      <c r="C38" s="8"/>
      <c r="D38" s="8"/>
      <c r="E38" s="5"/>
      <c r="F38" s="9"/>
      <c r="G38" s="9"/>
      <c r="H38" s="40"/>
      <c r="I38" s="177"/>
      <c r="J38" s="2"/>
      <c r="K38" s="2"/>
      <c r="L38" s="88"/>
    </row>
    <row r="39" spans="1:12" ht="15.75">
      <c r="A39" s="44"/>
      <c r="B39" s="482">
        <v>2506</v>
      </c>
      <c r="C39" s="482"/>
      <c r="D39" s="11"/>
      <c r="E39" s="11" t="s">
        <v>10</v>
      </c>
      <c r="F39" s="12">
        <f aca="true" t="shared" si="10" ref="F39:K39">F40+F41</f>
        <v>0</v>
      </c>
      <c r="G39" s="12">
        <f t="shared" si="10"/>
        <v>3749000</v>
      </c>
      <c r="H39" s="12">
        <f t="shared" si="10"/>
        <v>1644276.45</v>
      </c>
      <c r="I39" s="178">
        <f t="shared" si="10"/>
        <v>3700000</v>
      </c>
      <c r="J39" s="12">
        <f t="shared" si="10"/>
        <v>0</v>
      </c>
      <c r="K39" s="12">
        <f t="shared" si="10"/>
        <v>0</v>
      </c>
      <c r="L39" s="68">
        <f>I39+J39+K39</f>
        <v>3700000</v>
      </c>
    </row>
    <row r="40" spans="1:15" ht="15.75">
      <c r="A40" s="44"/>
      <c r="B40" s="11"/>
      <c r="C40" s="11"/>
      <c r="D40" s="11">
        <v>12</v>
      </c>
      <c r="E40" s="11"/>
      <c r="F40" s="12">
        <v>0</v>
      </c>
      <c r="G40" s="12">
        <v>3500000</v>
      </c>
      <c r="H40" s="21">
        <v>1425521.99</v>
      </c>
      <c r="I40" s="178">
        <v>3500000</v>
      </c>
      <c r="J40" s="21">
        <v>0</v>
      </c>
      <c r="K40" s="21">
        <v>0</v>
      </c>
      <c r="L40" s="68">
        <f>I40+J40+K40</f>
        <v>3500000</v>
      </c>
      <c r="M40" s="132">
        <f>1425521985.08/1000</f>
        <v>1425521.98508</v>
      </c>
      <c r="O40" s="132">
        <f>3500000000/1000</f>
        <v>3500000</v>
      </c>
    </row>
    <row r="41" spans="1:15" ht="15.75">
      <c r="A41" s="45"/>
      <c r="B41" s="14"/>
      <c r="C41" s="14"/>
      <c r="D41" s="14">
        <v>17</v>
      </c>
      <c r="E41" s="14"/>
      <c r="F41" s="15">
        <v>0</v>
      </c>
      <c r="G41" s="15">
        <v>249000</v>
      </c>
      <c r="H41" s="20">
        <v>218754.46</v>
      </c>
      <c r="I41" s="179">
        <v>200000</v>
      </c>
      <c r="J41" s="20">
        <v>0</v>
      </c>
      <c r="K41" s="20">
        <f>0</f>
        <v>0</v>
      </c>
      <c r="L41" s="68">
        <f>I41+J41+K41</f>
        <v>200000</v>
      </c>
      <c r="M41" s="132">
        <f>218754460.23/1000</f>
        <v>218754.46023</v>
      </c>
      <c r="N41" s="132">
        <f>200+49</f>
        <v>249</v>
      </c>
      <c r="O41" s="132">
        <f>200000000/1000</f>
        <v>200000</v>
      </c>
    </row>
    <row r="42" spans="1:12" ht="32.25">
      <c r="A42" s="80">
        <v>12</v>
      </c>
      <c r="B42" s="56"/>
      <c r="C42" s="56"/>
      <c r="D42" s="56"/>
      <c r="E42" s="91" t="s">
        <v>63</v>
      </c>
      <c r="F42" s="85">
        <f aca="true" t="shared" si="11" ref="F42:K42">F43</f>
        <v>7189189.88</v>
      </c>
      <c r="G42" s="85">
        <f t="shared" si="11"/>
        <v>3000000</v>
      </c>
      <c r="H42" s="85">
        <f t="shared" si="11"/>
        <v>1582145.31</v>
      </c>
      <c r="I42" s="180">
        <f t="shared" si="11"/>
        <v>1800000</v>
      </c>
      <c r="J42" s="85">
        <f t="shared" si="11"/>
        <v>0</v>
      </c>
      <c r="K42" s="85">
        <f t="shared" si="11"/>
        <v>0</v>
      </c>
      <c r="L42" s="113">
        <f>I42+J42+K42</f>
        <v>1800000</v>
      </c>
    </row>
    <row r="43" spans="1:12" ht="15.75">
      <c r="A43" s="44"/>
      <c r="B43" s="8"/>
      <c r="C43" s="8"/>
      <c r="D43" s="8"/>
      <c r="E43" s="5" t="s">
        <v>9</v>
      </c>
      <c r="F43" s="9">
        <f>F45</f>
        <v>7189189.88</v>
      </c>
      <c r="G43" s="9">
        <f>G49</f>
        <v>3000000</v>
      </c>
      <c r="H43" s="9">
        <f>H49</f>
        <v>1582145.31</v>
      </c>
      <c r="I43" s="177">
        <f>I49</f>
        <v>1800000</v>
      </c>
      <c r="J43" s="9">
        <f>J49</f>
        <v>0</v>
      </c>
      <c r="K43" s="9">
        <f>K49</f>
        <v>0</v>
      </c>
      <c r="L43" s="83">
        <f>I43+J43+K43</f>
        <v>1800000</v>
      </c>
    </row>
    <row r="44" spans="1:12" ht="9.75" customHeight="1">
      <c r="A44" s="44"/>
      <c r="B44" s="8"/>
      <c r="C44" s="8"/>
      <c r="D44" s="8"/>
      <c r="E44" s="5"/>
      <c r="F44" s="9"/>
      <c r="G44" s="9"/>
      <c r="H44" s="9"/>
      <c r="I44" s="177"/>
      <c r="J44" s="9"/>
      <c r="K44" s="9"/>
      <c r="L44" s="83"/>
    </row>
    <row r="45" spans="1:12" ht="15.75">
      <c r="A45" s="44"/>
      <c r="B45" s="482">
        <v>2502</v>
      </c>
      <c r="C45" s="482"/>
      <c r="D45" s="11"/>
      <c r="E45" s="11" t="s">
        <v>10</v>
      </c>
      <c r="F45" s="12">
        <f aca="true" t="shared" si="12" ref="F45:K45">F46+F47</f>
        <v>7189189.88</v>
      </c>
      <c r="G45" s="12">
        <f t="shared" si="12"/>
        <v>0</v>
      </c>
      <c r="H45" s="12">
        <f t="shared" si="12"/>
        <v>0</v>
      </c>
      <c r="I45" s="178">
        <f t="shared" si="12"/>
        <v>0</v>
      </c>
      <c r="J45" s="12">
        <f t="shared" si="12"/>
        <v>0</v>
      </c>
      <c r="K45" s="12">
        <f t="shared" si="12"/>
        <v>0</v>
      </c>
      <c r="L45" s="81">
        <f>I45+J45+K45</f>
        <v>0</v>
      </c>
    </row>
    <row r="46" spans="1:14" ht="15.75">
      <c r="A46" s="44"/>
      <c r="B46" s="11"/>
      <c r="C46" s="11"/>
      <c r="D46" s="11">
        <v>12</v>
      </c>
      <c r="E46" s="11"/>
      <c r="F46" s="12">
        <v>6917798.17</v>
      </c>
      <c r="G46" s="12">
        <v>0</v>
      </c>
      <c r="H46" s="21">
        <v>0</v>
      </c>
      <c r="I46" s="178">
        <v>0</v>
      </c>
      <c r="J46" s="21">
        <v>0</v>
      </c>
      <c r="K46" s="21">
        <v>0</v>
      </c>
      <c r="L46" s="81">
        <f>I46+J46+K46</f>
        <v>0</v>
      </c>
      <c r="N46" s="132">
        <f>6917798170.6/1000</f>
        <v>6917798.170600001</v>
      </c>
    </row>
    <row r="47" spans="1:14" ht="15.75">
      <c r="A47" s="44"/>
      <c r="B47" s="11"/>
      <c r="C47" s="11"/>
      <c r="D47" s="11">
        <v>17</v>
      </c>
      <c r="E47" s="11"/>
      <c r="F47" s="12">
        <v>271391.71</v>
      </c>
      <c r="G47" s="12">
        <v>0</v>
      </c>
      <c r="H47" s="256">
        <v>0</v>
      </c>
      <c r="I47" s="178">
        <v>0</v>
      </c>
      <c r="J47" s="21">
        <v>0</v>
      </c>
      <c r="K47" s="21"/>
      <c r="L47" s="81">
        <f>I47+J47+K47</f>
        <v>0</v>
      </c>
      <c r="N47" s="132">
        <f>271391711.85/1000</f>
        <v>271391.71185</v>
      </c>
    </row>
    <row r="48" spans="1:12" ht="10.5" customHeight="1">
      <c r="A48" s="44"/>
      <c r="B48" s="8"/>
      <c r="C48" s="8"/>
      <c r="D48" s="8"/>
      <c r="E48" s="5"/>
      <c r="F48" s="9"/>
      <c r="G48" s="9"/>
      <c r="H48" s="9"/>
      <c r="I48" s="381"/>
      <c r="J48" s="9"/>
      <c r="K48" s="9"/>
      <c r="L48" s="83"/>
    </row>
    <row r="49" spans="1:12" ht="15.75">
      <c r="A49" s="44"/>
      <c r="B49" s="482">
        <v>2506</v>
      </c>
      <c r="C49" s="482"/>
      <c r="D49" s="11"/>
      <c r="E49" s="11" t="s">
        <v>10</v>
      </c>
      <c r="F49" s="12">
        <f aca="true" t="shared" si="13" ref="F49:K49">F50+F51</f>
        <v>0</v>
      </c>
      <c r="G49" s="12">
        <f t="shared" si="13"/>
        <v>3000000</v>
      </c>
      <c r="H49" s="12">
        <f t="shared" si="13"/>
        <v>1582145.31</v>
      </c>
      <c r="I49" s="178">
        <f t="shared" si="13"/>
        <v>1800000</v>
      </c>
      <c r="J49" s="12">
        <f t="shared" si="13"/>
        <v>0</v>
      </c>
      <c r="K49" s="12">
        <f t="shared" si="13"/>
        <v>0</v>
      </c>
      <c r="L49" s="81">
        <f>I49+J49+K49</f>
        <v>1800000</v>
      </c>
    </row>
    <row r="50" spans="1:15" ht="15.75">
      <c r="A50" s="44"/>
      <c r="B50" s="11"/>
      <c r="C50" s="11"/>
      <c r="D50" s="11">
        <v>12</v>
      </c>
      <c r="E50" s="11"/>
      <c r="F50" s="12">
        <v>0</v>
      </c>
      <c r="G50" s="12">
        <v>2800000</v>
      </c>
      <c r="H50" s="21">
        <v>1395344.04</v>
      </c>
      <c r="I50" s="178">
        <v>1700000</v>
      </c>
      <c r="J50" s="21">
        <v>0</v>
      </c>
      <c r="K50" s="21">
        <v>0</v>
      </c>
      <c r="L50" s="81">
        <f>I50+J50+K50</f>
        <v>1700000</v>
      </c>
      <c r="M50" s="132">
        <f>1395344035.31/1000</f>
        <v>1395344.03531</v>
      </c>
      <c r="O50" s="132">
        <f>1500000000/1000</f>
        <v>1500000</v>
      </c>
    </row>
    <row r="51" spans="1:15" ht="15.75">
      <c r="A51" s="45"/>
      <c r="B51" s="14"/>
      <c r="C51" s="14"/>
      <c r="D51" s="14">
        <v>17</v>
      </c>
      <c r="E51" s="14"/>
      <c r="F51" s="15">
        <v>0</v>
      </c>
      <c r="G51" s="15">
        <v>200000</v>
      </c>
      <c r="H51" s="38">
        <v>186801.27</v>
      </c>
      <c r="I51" s="179">
        <v>100000</v>
      </c>
      <c r="J51" s="20">
        <v>0</v>
      </c>
      <c r="K51" s="20"/>
      <c r="L51" s="81">
        <f>I51+J51+K51</f>
        <v>100000</v>
      </c>
      <c r="M51" s="132">
        <f>186801269.93/1000</f>
        <v>186801.26993</v>
      </c>
      <c r="N51" s="140">
        <f>189094230.13/1000</f>
        <v>189094.23012999998</v>
      </c>
      <c r="O51" s="132">
        <f>100000000/1000</f>
        <v>100000</v>
      </c>
    </row>
    <row r="52" spans="1:12" ht="30" customHeight="1" hidden="1">
      <c r="A52" s="59"/>
      <c r="B52" s="56"/>
      <c r="C52" s="56"/>
      <c r="D52" s="56"/>
      <c r="E52" s="91" t="s">
        <v>27</v>
      </c>
      <c r="F52" s="57"/>
      <c r="G52" s="57"/>
      <c r="H52" s="58"/>
      <c r="I52" s="180">
        <f>I53</f>
        <v>0</v>
      </c>
      <c r="J52" s="162"/>
      <c r="K52" s="162"/>
      <c r="L52" s="163">
        <f>L53</f>
        <v>0</v>
      </c>
    </row>
    <row r="53" spans="1:12" ht="15" customHeight="1" hidden="1">
      <c r="A53" s="44"/>
      <c r="B53" s="8"/>
      <c r="C53" s="8"/>
      <c r="D53" s="8"/>
      <c r="E53" s="5" t="s">
        <v>9</v>
      </c>
      <c r="F53" s="9"/>
      <c r="G53" s="9">
        <f>G54</f>
        <v>0</v>
      </c>
      <c r="H53" s="40"/>
      <c r="I53" s="177">
        <f>I54</f>
        <v>0</v>
      </c>
      <c r="J53" s="2"/>
      <c r="K53" s="2"/>
      <c r="L53" s="88">
        <f>I53+J53+K53</f>
        <v>0</v>
      </c>
    </row>
    <row r="54" spans="1:12" ht="15" customHeight="1" hidden="1">
      <c r="A54" s="44"/>
      <c r="B54" s="482">
        <v>2502</v>
      </c>
      <c r="C54" s="482"/>
      <c r="D54" s="11"/>
      <c r="E54" s="11" t="s">
        <v>10</v>
      </c>
      <c r="F54" s="12"/>
      <c r="G54" s="12">
        <f>G55+G56</f>
        <v>0</v>
      </c>
      <c r="H54" s="12">
        <f>H55</f>
        <v>0</v>
      </c>
      <c r="I54" s="178">
        <f>I55+I56</f>
        <v>0</v>
      </c>
      <c r="J54" s="12"/>
      <c r="K54" s="12"/>
      <c r="L54" s="81">
        <f>I54+J54+K54</f>
        <v>0</v>
      </c>
    </row>
    <row r="55" spans="1:12" ht="15" customHeight="1" hidden="1">
      <c r="A55" s="44"/>
      <c r="B55" s="11"/>
      <c r="C55" s="11"/>
      <c r="D55" s="11">
        <v>13</v>
      </c>
      <c r="E55" s="11"/>
      <c r="F55" s="12"/>
      <c r="G55" s="12"/>
      <c r="H55" s="37"/>
      <c r="I55" s="178">
        <v>0</v>
      </c>
      <c r="J55" s="21"/>
      <c r="K55" s="21"/>
      <c r="L55" s="74">
        <f>I55+J55+K55</f>
        <v>0</v>
      </c>
    </row>
    <row r="56" spans="1:12" ht="15.75" hidden="1">
      <c r="A56" s="45"/>
      <c r="B56" s="14"/>
      <c r="C56" s="14"/>
      <c r="D56" s="14">
        <v>17</v>
      </c>
      <c r="E56" s="14"/>
      <c r="F56" s="15"/>
      <c r="G56" s="15"/>
      <c r="H56" s="38"/>
      <c r="I56" s="179"/>
      <c r="J56" s="20"/>
      <c r="K56" s="20"/>
      <c r="L56" s="73">
        <f>I56+J56+K56</f>
        <v>0</v>
      </c>
    </row>
    <row r="57" spans="1:12" ht="17.25">
      <c r="A57" s="165"/>
      <c r="B57" s="185"/>
      <c r="C57" s="185"/>
      <c r="D57" s="185"/>
      <c r="E57" s="186" t="s">
        <v>12</v>
      </c>
      <c r="F57" s="183">
        <f>F45+F35+F23+F13</f>
        <v>16169218.120000001</v>
      </c>
      <c r="G57" s="183">
        <f aca="true" t="shared" si="14" ref="G57:L57">G17+G28+G39+G49+G54</f>
        <v>8039000</v>
      </c>
      <c r="H57" s="183">
        <f t="shared" si="14"/>
        <v>4013873.58</v>
      </c>
      <c r="I57" s="183">
        <f t="shared" si="14"/>
        <v>5500000</v>
      </c>
      <c r="J57" s="183">
        <f t="shared" si="14"/>
        <v>0</v>
      </c>
      <c r="K57" s="183">
        <f t="shared" si="14"/>
        <v>0</v>
      </c>
      <c r="L57" s="222">
        <f t="shared" si="14"/>
        <v>5500000</v>
      </c>
    </row>
    <row r="58" spans="1:12" ht="11.25" customHeight="1">
      <c r="A58" s="159"/>
      <c r="B58" s="22"/>
      <c r="C58" s="22"/>
      <c r="D58" s="22"/>
      <c r="E58" s="22"/>
      <c r="F58" s="21"/>
      <c r="G58" s="21"/>
      <c r="H58" s="61"/>
      <c r="I58" s="21"/>
      <c r="J58" s="21"/>
      <c r="K58" s="61"/>
      <c r="L58" s="68"/>
    </row>
    <row r="59" spans="1:14" ht="17.25">
      <c r="A59" s="166"/>
      <c r="B59" s="187"/>
      <c r="C59" s="187"/>
      <c r="D59" s="187"/>
      <c r="E59" s="187"/>
      <c r="F59" s="184">
        <f>F60+F62</f>
        <v>16169218.120000003</v>
      </c>
      <c r="G59" s="184">
        <f aca="true" t="shared" si="15" ref="G59:L59">G60+G62</f>
        <v>8039000</v>
      </c>
      <c r="H59" s="184">
        <f t="shared" si="15"/>
        <v>4013873.58</v>
      </c>
      <c r="I59" s="184">
        <f t="shared" si="15"/>
        <v>5500000</v>
      </c>
      <c r="J59" s="184">
        <f t="shared" si="15"/>
        <v>0</v>
      </c>
      <c r="K59" s="184">
        <f t="shared" si="15"/>
        <v>0</v>
      </c>
      <c r="L59" s="188">
        <f t="shared" si="15"/>
        <v>5500000</v>
      </c>
      <c r="N59" s="132">
        <f>1252799.02+1349219.58+1715771.07+1048523.08+2116372.18+2292960.2</f>
        <v>9775645.129999999</v>
      </c>
    </row>
    <row r="60" spans="1:12" ht="17.25">
      <c r="A60" s="157"/>
      <c r="B60" s="18" t="s">
        <v>14</v>
      </c>
      <c r="C60" s="18"/>
      <c r="D60" s="18"/>
      <c r="E60" s="18"/>
      <c r="F60" s="53">
        <f aca="true" t="shared" si="16" ref="F60:L60">F61</f>
        <v>524896.51</v>
      </c>
      <c r="G60" s="53">
        <f t="shared" si="16"/>
        <v>519000</v>
      </c>
      <c r="H60" s="53">
        <f t="shared" si="16"/>
        <v>427731.92</v>
      </c>
      <c r="I60" s="234">
        <f t="shared" si="16"/>
        <v>300000</v>
      </c>
      <c r="J60" s="53">
        <f t="shared" si="16"/>
        <v>0</v>
      </c>
      <c r="K60" s="53">
        <f t="shared" si="16"/>
        <v>0</v>
      </c>
      <c r="L60" s="76">
        <f t="shared" si="16"/>
        <v>300000</v>
      </c>
    </row>
    <row r="61" spans="1:12" ht="15.75">
      <c r="A61" s="154">
        <v>17</v>
      </c>
      <c r="B61" s="11">
        <v>17</v>
      </c>
      <c r="C61" s="11" t="s">
        <v>15</v>
      </c>
      <c r="D61" s="11"/>
      <c r="E61" s="11"/>
      <c r="F61" s="12">
        <f>F47+F37+F26+F15</f>
        <v>524896.51</v>
      </c>
      <c r="G61" s="12">
        <f aca="true" t="shared" si="17" ref="G61:L61">G19+G31+G41+G51</f>
        <v>519000</v>
      </c>
      <c r="H61" s="12">
        <f t="shared" si="17"/>
        <v>427731.92</v>
      </c>
      <c r="I61" s="232">
        <f t="shared" si="17"/>
        <v>300000</v>
      </c>
      <c r="J61" s="12">
        <f t="shared" si="17"/>
        <v>0</v>
      </c>
      <c r="K61" s="12">
        <f t="shared" si="17"/>
        <v>0</v>
      </c>
      <c r="L61" s="81">
        <f t="shared" si="17"/>
        <v>300000</v>
      </c>
    </row>
    <row r="62" spans="1:12" ht="17.25">
      <c r="A62" s="158"/>
      <c r="B62" s="8" t="s">
        <v>16</v>
      </c>
      <c r="C62" s="8"/>
      <c r="D62" s="8"/>
      <c r="E62" s="8"/>
      <c r="F62" s="30">
        <f aca="true" t="shared" si="18" ref="F62:L62">F63+F64+F65</f>
        <v>15644321.610000003</v>
      </c>
      <c r="G62" s="30">
        <f t="shared" si="18"/>
        <v>7520000</v>
      </c>
      <c r="H62" s="30">
        <f t="shared" si="18"/>
        <v>3586141.66</v>
      </c>
      <c r="I62" s="235">
        <f t="shared" si="18"/>
        <v>5200000</v>
      </c>
      <c r="J62" s="30">
        <f t="shared" si="18"/>
        <v>0</v>
      </c>
      <c r="K62" s="30">
        <f t="shared" si="18"/>
        <v>0</v>
      </c>
      <c r="L62" s="92">
        <f t="shared" si="18"/>
        <v>5200000</v>
      </c>
    </row>
    <row r="63" spans="1:12" ht="15.75">
      <c r="A63" s="154">
        <v>12</v>
      </c>
      <c r="B63" s="11">
        <v>12</v>
      </c>
      <c r="C63" s="11" t="s">
        <v>17</v>
      </c>
      <c r="D63" s="11"/>
      <c r="E63" s="11"/>
      <c r="F63" s="12">
        <f>F46+F36+F24+F14</f>
        <v>14589330.610000003</v>
      </c>
      <c r="G63" s="12">
        <f aca="true" t="shared" si="19" ref="G63:L63">G18+G29+G40+G50</f>
        <v>7320000</v>
      </c>
      <c r="H63" s="12">
        <f t="shared" si="19"/>
        <v>3586141.66</v>
      </c>
      <c r="I63" s="232">
        <f t="shared" si="19"/>
        <v>5200000</v>
      </c>
      <c r="J63" s="12">
        <f t="shared" si="19"/>
        <v>0</v>
      </c>
      <c r="K63" s="12">
        <f t="shared" si="19"/>
        <v>0</v>
      </c>
      <c r="L63" s="81">
        <f t="shared" si="19"/>
        <v>5200000</v>
      </c>
    </row>
    <row r="64" spans="1:12" ht="15.75">
      <c r="A64" s="154">
        <v>13</v>
      </c>
      <c r="B64" s="11">
        <v>13</v>
      </c>
      <c r="C64" s="11" t="s">
        <v>18</v>
      </c>
      <c r="D64" s="11"/>
      <c r="E64" s="11"/>
      <c r="F64" s="12">
        <f>F25</f>
        <v>1054991</v>
      </c>
      <c r="G64" s="12">
        <f aca="true" t="shared" si="20" ref="G64:L64">G30</f>
        <v>200000</v>
      </c>
      <c r="H64" s="12">
        <f t="shared" si="20"/>
        <v>0</v>
      </c>
      <c r="I64" s="232">
        <f t="shared" si="20"/>
        <v>0</v>
      </c>
      <c r="J64" s="12">
        <f t="shared" si="20"/>
        <v>0</v>
      </c>
      <c r="K64" s="12">
        <f t="shared" si="20"/>
        <v>0</v>
      </c>
      <c r="L64" s="81">
        <f t="shared" si="20"/>
        <v>0</v>
      </c>
    </row>
    <row r="65" spans="1:12" ht="15.75">
      <c r="A65" s="155">
        <v>14</v>
      </c>
      <c r="B65" s="14">
        <v>14</v>
      </c>
      <c r="C65" s="14" t="s">
        <v>19</v>
      </c>
      <c r="D65" s="14"/>
      <c r="E65" s="14"/>
      <c r="F65" s="15">
        <v>0</v>
      </c>
      <c r="G65" s="15">
        <v>0</v>
      </c>
      <c r="H65" s="15">
        <v>0</v>
      </c>
      <c r="I65" s="236">
        <v>0</v>
      </c>
      <c r="J65" s="15">
        <v>0</v>
      </c>
      <c r="K65" s="15">
        <v>0</v>
      </c>
      <c r="L65" s="84">
        <v>0</v>
      </c>
    </row>
    <row r="66" spans="1:12" ht="15.75">
      <c r="A66" s="156"/>
      <c r="B66" s="156"/>
      <c r="C66" s="156"/>
      <c r="D66" s="156"/>
      <c r="E66" s="156"/>
      <c r="F66" s="156"/>
      <c r="G66" s="156"/>
      <c r="H66" s="160" t="s">
        <v>32</v>
      </c>
      <c r="I66" s="164"/>
      <c r="J66" s="156"/>
      <c r="K66" s="160"/>
      <c r="L66" s="156"/>
    </row>
    <row r="67" spans="6:12" ht="15.75">
      <c r="F67" s="254">
        <f>F8-F57</f>
        <v>0</v>
      </c>
      <c r="G67" s="254">
        <f aca="true" t="shared" si="21" ref="G67:L67">G8-G57</f>
        <v>0</v>
      </c>
      <c r="H67" s="254">
        <f t="shared" si="21"/>
        <v>0</v>
      </c>
      <c r="I67" s="254">
        <f t="shared" si="21"/>
        <v>0</v>
      </c>
      <c r="J67" s="254">
        <f t="shared" si="21"/>
        <v>0</v>
      </c>
      <c r="K67" s="254">
        <f t="shared" si="21"/>
        <v>0</v>
      </c>
      <c r="L67" s="254">
        <f t="shared" si="21"/>
        <v>0</v>
      </c>
    </row>
    <row r="68" spans="6:12" ht="15.75">
      <c r="F68" s="254">
        <f>F57-F59</f>
        <v>0</v>
      </c>
      <c r="G68" s="254">
        <f aca="true" t="shared" si="22" ref="G68:L68">G57-G59</f>
        <v>0</v>
      </c>
      <c r="H68" s="254">
        <f t="shared" si="22"/>
        <v>0</v>
      </c>
      <c r="I68" s="254">
        <f t="shared" si="22"/>
        <v>0</v>
      </c>
      <c r="J68" s="254">
        <f t="shared" si="22"/>
        <v>0</v>
      </c>
      <c r="K68" s="254">
        <f t="shared" si="22"/>
        <v>0</v>
      </c>
      <c r="L68" s="254">
        <f t="shared" si="22"/>
        <v>0</v>
      </c>
    </row>
    <row r="69" ht="15.75">
      <c r="I69" s="6"/>
    </row>
    <row r="70" ht="15.75">
      <c r="I70" s="6"/>
    </row>
    <row r="71" ht="15.75">
      <c r="I71" s="6"/>
    </row>
    <row r="72" ht="15.75">
      <c r="I72" s="6"/>
    </row>
    <row r="73" ht="15.75">
      <c r="I73" s="6"/>
    </row>
    <row r="74" ht="15.75">
      <c r="I74" s="6"/>
    </row>
    <row r="75" ht="15.75">
      <c r="I75" s="6"/>
    </row>
    <row r="76" ht="15.75">
      <c r="I76" s="6"/>
    </row>
    <row r="77" ht="15.75">
      <c r="I77" s="6"/>
    </row>
    <row r="78" ht="15.75">
      <c r="I78" s="6"/>
    </row>
    <row r="79" ht="15.75">
      <c r="I79" s="6"/>
    </row>
    <row r="80" ht="15.75">
      <c r="I80" s="6"/>
    </row>
    <row r="81" ht="15.75">
      <c r="I81" s="6"/>
    </row>
    <row r="82" ht="15.75">
      <c r="I82" s="6"/>
    </row>
    <row r="83" ht="15.75">
      <c r="I83" s="6"/>
    </row>
    <row r="84" ht="15.75">
      <c r="I84" s="6"/>
    </row>
    <row r="85" ht="15.75">
      <c r="I85" s="6"/>
    </row>
    <row r="86" ht="15.75">
      <c r="I86" s="6"/>
    </row>
    <row r="87" ht="15.75">
      <c r="I87" s="6"/>
    </row>
    <row r="88" ht="15.75">
      <c r="I88" s="6"/>
    </row>
    <row r="89" ht="15.75">
      <c r="I89" s="6"/>
    </row>
    <row r="90" ht="15.75">
      <c r="I90" s="6"/>
    </row>
    <row r="91" ht="15.75">
      <c r="I91" s="6"/>
    </row>
    <row r="92" ht="15.75">
      <c r="I92" s="6"/>
    </row>
    <row r="93" ht="15.75">
      <c r="I93" s="6"/>
    </row>
    <row r="94" ht="15.75">
      <c r="I94" s="6"/>
    </row>
    <row r="95" ht="15.75">
      <c r="I95" s="6"/>
    </row>
    <row r="96" ht="15.75">
      <c r="I96" s="6"/>
    </row>
    <row r="97" ht="15.75">
      <c r="I97" s="6"/>
    </row>
    <row r="98" ht="15.75">
      <c r="I98" s="6"/>
    </row>
    <row r="99" ht="15.75">
      <c r="I99" s="6"/>
    </row>
    <row r="100" ht="15.75">
      <c r="I100" s="6"/>
    </row>
    <row r="101" ht="15.75">
      <c r="I101" s="6"/>
    </row>
    <row r="102" ht="15.75">
      <c r="I102" s="6"/>
    </row>
    <row r="103" ht="15.75">
      <c r="I103" s="6"/>
    </row>
    <row r="104" ht="15.75">
      <c r="I104" s="6"/>
    </row>
    <row r="105" ht="15.75">
      <c r="I105" s="6"/>
    </row>
    <row r="106" ht="15.75">
      <c r="I106" s="6"/>
    </row>
    <row r="107" ht="15.75">
      <c r="I107" s="6"/>
    </row>
    <row r="108" ht="15.75">
      <c r="I108" s="6"/>
    </row>
    <row r="109" ht="15.75">
      <c r="I109" s="6"/>
    </row>
    <row r="110" ht="15.75">
      <c r="I110" s="6"/>
    </row>
    <row r="111" ht="15.75">
      <c r="I111" s="6"/>
    </row>
    <row r="112" ht="15.75">
      <c r="I112" s="6"/>
    </row>
    <row r="113" ht="15.75">
      <c r="I113" s="6"/>
    </row>
    <row r="114" ht="15.75">
      <c r="I114" s="6"/>
    </row>
    <row r="115" ht="15.75">
      <c r="I115" s="6"/>
    </row>
    <row r="116" ht="15.75">
      <c r="I116" s="6"/>
    </row>
    <row r="117" ht="15.75">
      <c r="I117" s="6"/>
    </row>
    <row r="118" ht="15.75">
      <c r="I118" s="6"/>
    </row>
    <row r="119" ht="15.75">
      <c r="I119" s="6"/>
    </row>
    <row r="120" ht="15.75">
      <c r="I120" s="6"/>
    </row>
    <row r="121" ht="15.75">
      <c r="I121" s="6"/>
    </row>
    <row r="122" ht="15.75">
      <c r="I122" s="6"/>
    </row>
    <row r="123" ht="15.75">
      <c r="I123" s="6"/>
    </row>
    <row r="124" ht="15.75">
      <c r="I124" s="6"/>
    </row>
    <row r="125" ht="15.75">
      <c r="I125" s="6"/>
    </row>
    <row r="126" ht="15.75">
      <c r="I126" s="6"/>
    </row>
    <row r="127" ht="15.75">
      <c r="I127" s="6"/>
    </row>
    <row r="128" ht="15.75">
      <c r="I128" s="6"/>
    </row>
    <row r="129" ht="15.75">
      <c r="I129" s="6"/>
    </row>
    <row r="130" ht="15.75">
      <c r="I130" s="6"/>
    </row>
    <row r="131" ht="15.75">
      <c r="I131" s="6"/>
    </row>
    <row r="132" ht="15.75">
      <c r="I132" s="6"/>
    </row>
    <row r="133" ht="15.75">
      <c r="I133" s="6"/>
    </row>
    <row r="134" ht="15.75">
      <c r="I134" s="6"/>
    </row>
    <row r="135" ht="15.75">
      <c r="I135" s="6"/>
    </row>
    <row r="136" ht="15.75">
      <c r="I136" s="161"/>
    </row>
    <row r="137" ht="15.75">
      <c r="I137" s="161"/>
    </row>
    <row r="138" ht="15.75">
      <c r="I138" s="161"/>
    </row>
    <row r="139" ht="15.75">
      <c r="I139" s="161"/>
    </row>
    <row r="140" ht="15.75">
      <c r="I140" s="161"/>
    </row>
    <row r="141" ht="15.75">
      <c r="I141" s="161"/>
    </row>
    <row r="142" ht="15.75">
      <c r="I142" s="161"/>
    </row>
    <row r="143" ht="15.75">
      <c r="I143" s="161"/>
    </row>
    <row r="144" ht="15.75">
      <c r="I144" s="161"/>
    </row>
    <row r="145" ht="15.75">
      <c r="I145" s="161"/>
    </row>
    <row r="146" ht="15.75">
      <c r="I146" s="161"/>
    </row>
    <row r="147" ht="15.75">
      <c r="I147" s="161"/>
    </row>
    <row r="148" ht="15.75">
      <c r="I148" s="161"/>
    </row>
    <row r="149" ht="15.75">
      <c r="I149" s="161"/>
    </row>
    <row r="150" ht="15.75">
      <c r="I150" s="161"/>
    </row>
    <row r="151" ht="15.75">
      <c r="I151" s="161"/>
    </row>
    <row r="152" ht="15.75">
      <c r="I152" s="161"/>
    </row>
    <row r="153" ht="15.75">
      <c r="I153" s="161"/>
    </row>
    <row r="154" ht="15.75">
      <c r="I154" s="161"/>
    </row>
    <row r="155" ht="15.75">
      <c r="I155" s="161"/>
    </row>
    <row r="156" ht="15.75">
      <c r="I156" s="161"/>
    </row>
    <row r="157" ht="15.75">
      <c r="I157" s="161"/>
    </row>
    <row r="158" ht="15.75">
      <c r="I158" s="161"/>
    </row>
    <row r="159" ht="15.75">
      <c r="I159" s="161"/>
    </row>
    <row r="160" ht="15.75">
      <c r="I160" s="161"/>
    </row>
    <row r="161" ht="15.75">
      <c r="I161" s="161"/>
    </row>
    <row r="1059" ht="15.75">
      <c r="I1059" s="161"/>
    </row>
    <row r="1060" spans="7:9" ht="15.75">
      <c r="G1060" s="161"/>
      <c r="I1060" s="161"/>
    </row>
    <row r="1061" ht="15.75">
      <c r="I1061" s="161"/>
    </row>
    <row r="1062" ht="15.75">
      <c r="I1062" s="161"/>
    </row>
    <row r="1063" ht="15.75">
      <c r="I1063" s="161"/>
    </row>
    <row r="1064" ht="15.75">
      <c r="I1064" s="161"/>
    </row>
  </sheetData>
  <sheetProtection/>
  <mergeCells count="21">
    <mergeCell ref="B45:C45"/>
    <mergeCell ref="E5:E7"/>
    <mergeCell ref="B39:C39"/>
    <mergeCell ref="B35:C35"/>
    <mergeCell ref="D5:D7"/>
    <mergeCell ref="B54:C54"/>
    <mergeCell ref="B17:C17"/>
    <mergeCell ref="B28:C28"/>
    <mergeCell ref="B13:C13"/>
    <mergeCell ref="B23:C23"/>
    <mergeCell ref="B49:C49"/>
    <mergeCell ref="A1:L1"/>
    <mergeCell ref="A2:L2"/>
    <mergeCell ref="A3:L3"/>
    <mergeCell ref="A5:A7"/>
    <mergeCell ref="B5:B7"/>
    <mergeCell ref="C5:C7"/>
    <mergeCell ref="J6:K6"/>
    <mergeCell ref="G5:G7"/>
    <mergeCell ref="I5:I7"/>
    <mergeCell ref="H5:H7"/>
  </mergeCells>
  <printOptions/>
  <pageMargins left="0.35" right="0.17" top="0.42" bottom="0.48" header="0.3" footer="0.3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61A1"/>
  </sheetPr>
  <dimension ref="A1:Q218"/>
  <sheetViews>
    <sheetView zoomScalePageLayoutView="0" workbookViewId="0" topLeftCell="A197">
      <selection activeCell="A1" sqref="A1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7" width="12.00390625" style="0" customWidth="1"/>
    <col min="8" max="8" width="15.140625" style="0" customWidth="1"/>
    <col min="9" max="9" width="14.57421875" style="0" customWidth="1"/>
    <col min="10" max="10" width="11.57421875" style="0" customWidth="1"/>
    <col min="11" max="11" width="12.7109375" style="0" customWidth="1"/>
    <col min="12" max="12" width="9.7109375" style="0" customWidth="1"/>
    <col min="13" max="13" width="14.28125" style="0" customWidth="1"/>
    <col min="14" max="14" width="11.28125" style="217" bestFit="1" customWidth="1"/>
    <col min="15" max="15" width="14.00390625" style="194" bestFit="1" customWidth="1"/>
    <col min="17" max="17" width="15.00390625" style="0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73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16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17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594000</v>
      </c>
      <c r="H10" s="203">
        <f aca="true" t="shared" si="0" ref="H10:M10">H12+H18+H23+H29+H39+H45+H55+H61+H66+H73+H80+H87+H93+H99+H109+H114+H120+H125+H130+H137+H143+H148+H158+H164+H169+H175+H181+H186+H193</f>
        <v>630000</v>
      </c>
      <c r="I10" s="203">
        <f t="shared" si="0"/>
        <v>343000</v>
      </c>
      <c r="J10" s="203">
        <f t="shared" si="0"/>
        <v>558000</v>
      </c>
      <c r="K10" s="203">
        <f t="shared" si="0"/>
        <v>0</v>
      </c>
      <c r="L10" s="203">
        <f t="shared" si="0"/>
        <v>0</v>
      </c>
      <c r="M10" s="208">
        <f t="shared" si="0"/>
        <v>558000</v>
      </c>
    </row>
    <row r="11" spans="1:13" ht="17.25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229000</v>
      </c>
      <c r="H12" s="109">
        <f t="shared" si="1"/>
        <v>270000</v>
      </c>
      <c r="I12" s="109">
        <f t="shared" si="1"/>
        <v>123000</v>
      </c>
      <c r="J12" s="240">
        <f t="shared" si="1"/>
        <v>83000</v>
      </c>
      <c r="K12" s="109"/>
      <c r="L12" s="109"/>
      <c r="M12" s="114">
        <f>J12+K12+L12</f>
        <v>83000</v>
      </c>
    </row>
    <row r="13" spans="1:13" ht="15.75">
      <c r="A13" s="24"/>
      <c r="B13" s="62"/>
      <c r="C13" s="22"/>
      <c r="D13" s="22"/>
      <c r="E13" s="11"/>
      <c r="F13" s="8" t="s">
        <v>9</v>
      </c>
      <c r="G13" s="94">
        <f t="shared" si="1"/>
        <v>229000</v>
      </c>
      <c r="H13" s="94">
        <f t="shared" si="1"/>
        <v>270000</v>
      </c>
      <c r="I13" s="94">
        <f t="shared" si="1"/>
        <v>123000</v>
      </c>
      <c r="J13" s="241">
        <f t="shared" si="1"/>
        <v>83000</v>
      </c>
      <c r="K13" s="94"/>
      <c r="L13" s="94"/>
      <c r="M13" s="97">
        <f>J13+K13+L13</f>
        <v>83000</v>
      </c>
    </row>
    <row r="14" spans="1:13" ht="15.75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229000</v>
      </c>
      <c r="H14" s="95">
        <f>H15+H16</f>
        <v>270000</v>
      </c>
      <c r="I14" s="95">
        <f>I15+I16</f>
        <v>123000</v>
      </c>
      <c r="J14" s="242">
        <f>J15+J16</f>
        <v>83000</v>
      </c>
      <c r="K14" s="95"/>
      <c r="L14" s="95"/>
      <c r="M14" s="98">
        <f>J14+K14+L14</f>
        <v>83000</v>
      </c>
    </row>
    <row r="15" spans="1:13" ht="15.75">
      <c r="A15" s="24"/>
      <c r="B15" s="62"/>
      <c r="C15" s="22"/>
      <c r="D15" s="22"/>
      <c r="E15" s="11">
        <v>12</v>
      </c>
      <c r="F15" s="11"/>
      <c r="G15" s="95">
        <v>155000</v>
      </c>
      <c r="H15" s="95">
        <v>160000</v>
      </c>
      <c r="I15" s="95">
        <v>55000</v>
      </c>
      <c r="J15" s="242">
        <v>83000</v>
      </c>
      <c r="K15" s="100"/>
      <c r="L15" s="100"/>
      <c r="M15" s="98">
        <f>J15+K15+L15</f>
        <v>83000</v>
      </c>
    </row>
    <row r="16" spans="1:13" ht="15.75">
      <c r="A16" s="64"/>
      <c r="B16" s="65"/>
      <c r="C16" s="23"/>
      <c r="D16" s="23"/>
      <c r="E16" s="14">
        <v>13</v>
      </c>
      <c r="F16" s="14"/>
      <c r="G16" s="96">
        <v>74000</v>
      </c>
      <c r="H16" s="96">
        <v>110000</v>
      </c>
      <c r="I16" s="96">
        <v>68000</v>
      </c>
      <c r="J16" s="347">
        <v>0</v>
      </c>
      <c r="K16" s="107"/>
      <c r="L16" s="107"/>
      <c r="M16" s="196">
        <f>J16+K16+L16</f>
        <v>0</v>
      </c>
    </row>
    <row r="17" spans="1:13" ht="15.75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>
      <c r="A18" s="24"/>
      <c r="B18" s="62">
        <v>4</v>
      </c>
      <c r="C18" s="22"/>
      <c r="D18" s="22"/>
      <c r="E18" s="11"/>
      <c r="F18" s="4" t="s">
        <v>65</v>
      </c>
      <c r="G18" s="109">
        <f>G19</f>
        <v>365000</v>
      </c>
      <c r="H18" s="109">
        <f>H19</f>
        <v>360000</v>
      </c>
      <c r="I18" s="109">
        <f>I19</f>
        <v>220000</v>
      </c>
      <c r="J18" s="240">
        <f>J19</f>
        <v>475000</v>
      </c>
      <c r="K18" s="361">
        <f>K19</f>
        <v>0</v>
      </c>
      <c r="L18" s="109"/>
      <c r="M18" s="114">
        <f>K18+J18+L18</f>
        <v>475000</v>
      </c>
      <c r="N18" s="218"/>
    </row>
    <row r="19" spans="1:13" ht="15.75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365000</v>
      </c>
      <c r="H19" s="94">
        <f t="shared" si="2"/>
        <v>360000</v>
      </c>
      <c r="I19" s="94">
        <f t="shared" si="2"/>
        <v>220000</v>
      </c>
      <c r="J19" s="241">
        <f t="shared" si="2"/>
        <v>475000</v>
      </c>
      <c r="K19" s="363">
        <f>K20</f>
        <v>0</v>
      </c>
      <c r="L19" s="94"/>
      <c r="M19" s="97">
        <f>J19+K19+L19</f>
        <v>475000</v>
      </c>
    </row>
    <row r="20" spans="1:13" ht="15.75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365000</v>
      </c>
      <c r="H20" s="95">
        <f t="shared" si="2"/>
        <v>360000</v>
      </c>
      <c r="I20" s="95">
        <f t="shared" si="2"/>
        <v>220000</v>
      </c>
      <c r="J20" s="242">
        <f>J21</f>
        <v>475000</v>
      </c>
      <c r="K20" s="365">
        <f>K21</f>
        <v>0</v>
      </c>
      <c r="L20" s="231"/>
      <c r="M20" s="98">
        <f>J20+K20+L20</f>
        <v>475000</v>
      </c>
    </row>
    <row r="21" spans="1:15" ht="15.75">
      <c r="A21" s="64"/>
      <c r="B21" s="65"/>
      <c r="C21" s="23"/>
      <c r="D21" s="23"/>
      <c r="E21" s="14">
        <v>12</v>
      </c>
      <c r="F21" s="14"/>
      <c r="G21" s="96">
        <v>365000</v>
      </c>
      <c r="H21" s="96">
        <v>360000</v>
      </c>
      <c r="I21" s="96">
        <v>220000</v>
      </c>
      <c r="J21" s="243">
        <v>475000</v>
      </c>
      <c r="K21" s="370">
        <v>0</v>
      </c>
      <c r="L21" s="107"/>
      <c r="M21" s="108">
        <f>J21+K21+L21</f>
        <v>475000</v>
      </c>
      <c r="O21" s="194">
        <f>400000000/1000</f>
        <v>400000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12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/>
      <c r="H42" s="95"/>
      <c r="I42" s="95"/>
      <c r="J42" s="242"/>
      <c r="K42" s="95"/>
      <c r="L42" s="100"/>
      <c r="M42" s="98"/>
    </row>
    <row r="43" spans="1:13" ht="15.75" hidden="1">
      <c r="A43" s="64"/>
      <c r="B43" s="65"/>
      <c r="C43" s="23"/>
      <c r="D43" s="23"/>
      <c r="E43" s="14">
        <v>13</v>
      </c>
      <c r="F43" s="14"/>
      <c r="G43" s="96"/>
      <c r="H43" s="96"/>
      <c r="I43" s="96"/>
      <c r="J43" s="243"/>
      <c r="K43" s="96"/>
      <c r="L43" s="107"/>
      <c r="M43" s="196"/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13</v>
      </c>
      <c r="C45" s="22"/>
      <c r="D45" s="22"/>
      <c r="E45" s="11"/>
      <c r="F45" s="4" t="s">
        <v>65</v>
      </c>
      <c r="G45" s="109">
        <f aca="true" t="shared" si="6" ref="G45:K46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/>
      <c r="H47" s="95"/>
      <c r="I47" s="95"/>
      <c r="J47" s="242"/>
      <c r="K47" s="95"/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/>
      <c r="H48" s="96"/>
      <c r="I48" s="96"/>
      <c r="J48" s="243"/>
      <c r="K48" s="96"/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15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 t="shared" si="7"/>
        <v>0</v>
      </c>
      <c r="K55" s="109"/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/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/>
      <c r="H57" s="95"/>
      <c r="I57" s="95"/>
      <c r="J57" s="242"/>
      <c r="K57" s="95"/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/>
      <c r="H58" s="95"/>
      <c r="I58" s="95"/>
      <c r="J58" s="242"/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/>
      <c r="H59" s="96"/>
      <c r="I59" s="96"/>
      <c r="J59" s="243"/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16</v>
      </c>
      <c r="C61" s="22"/>
      <c r="D61" s="22"/>
      <c r="E61" s="11"/>
      <c r="F61" s="4" t="s">
        <v>24</v>
      </c>
      <c r="G61" s="109">
        <f aca="true" t="shared" si="8" ref="G61:K62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 t="shared" si="8"/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/>
      <c r="H63" s="95"/>
      <c r="I63" s="95"/>
      <c r="J63" s="242"/>
      <c r="K63" s="95"/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/>
      <c r="H64" s="96"/>
      <c r="I64" s="96"/>
      <c r="J64" s="243"/>
      <c r="K64" s="96"/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19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3" ht="15.75" hidden="1">
      <c r="A76" s="24"/>
      <c r="B76" s="62"/>
      <c r="C76" s="26"/>
      <c r="D76" s="26"/>
      <c r="E76" s="11">
        <v>12</v>
      </c>
      <c r="F76" s="11"/>
      <c r="G76" s="95"/>
      <c r="H76" s="95"/>
      <c r="I76" s="95"/>
      <c r="J76" s="242"/>
      <c r="K76" s="95"/>
      <c r="L76" s="95"/>
      <c r="M76" s="98">
        <f t="shared" si="10"/>
        <v>0</v>
      </c>
    </row>
    <row r="77" spans="1:13" ht="15.75" hidden="1">
      <c r="A77" s="24"/>
      <c r="B77" s="62"/>
      <c r="C77" s="26"/>
      <c r="D77" s="26"/>
      <c r="E77" s="11">
        <v>14</v>
      </c>
      <c r="F77" s="11"/>
      <c r="G77" s="95"/>
      <c r="H77" s="95"/>
      <c r="I77" s="95"/>
      <c r="J77" s="242"/>
      <c r="K77" s="95"/>
      <c r="L77" s="95"/>
      <c r="M77" s="98">
        <f t="shared" si="10"/>
        <v>0</v>
      </c>
    </row>
    <row r="78" spans="1:17" ht="15.75" hidden="1">
      <c r="A78" s="64"/>
      <c r="B78" s="65"/>
      <c r="C78" s="23"/>
      <c r="D78" s="23"/>
      <c r="E78" s="14">
        <v>17</v>
      </c>
      <c r="F78" s="14"/>
      <c r="G78" s="96"/>
      <c r="H78" s="96"/>
      <c r="I78" s="96"/>
      <c r="J78" s="243"/>
      <c r="K78" s="107"/>
      <c r="L78" s="107"/>
      <c r="M78" s="196">
        <f t="shared" si="10"/>
        <v>0</v>
      </c>
      <c r="Q78" s="194"/>
    </row>
    <row r="79" spans="1:14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 hidden="1">
      <c r="A80" s="24"/>
      <c r="B80" s="62">
        <v>20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7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  <c r="Q83" s="194">
        <f>480560000/1000</f>
        <v>480560</v>
      </c>
    </row>
    <row r="84" spans="1:13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</row>
    <row r="85" spans="1:14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  <c r="N85" s="219"/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21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7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  <c r="Q90" s="194">
        <f>982050000/1000</f>
        <v>982050</v>
      </c>
    </row>
    <row r="91" spans="1:13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22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7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  <c r="Q96" s="220"/>
    </row>
    <row r="97" spans="1:13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24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25</v>
      </c>
      <c r="C109" s="22"/>
      <c r="D109" s="22"/>
      <c r="E109" s="11"/>
      <c r="F109" s="4" t="s">
        <v>65</v>
      </c>
      <c r="G109" s="109">
        <f aca="true" t="shared" si="16" ref="G109:K110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/>
      <c r="H111" s="95"/>
      <c r="I111" s="95"/>
      <c r="J111" s="242"/>
      <c r="K111" s="95"/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28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29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98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31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3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</row>
    <row r="134" spans="1:13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</row>
    <row r="135" spans="1:13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</row>
    <row r="136" spans="1:13" ht="15.75" hidden="1">
      <c r="A136" s="24"/>
      <c r="B136" s="62"/>
      <c r="C136" s="22"/>
      <c r="D136" s="22"/>
      <c r="E136" s="11"/>
      <c r="F136" s="18" t="s">
        <v>50</v>
      </c>
      <c r="G136" s="95"/>
      <c r="H136" s="95"/>
      <c r="I136" s="95"/>
      <c r="J136" s="242"/>
      <c r="K136" s="104"/>
      <c r="L136" s="104"/>
      <c r="M136" s="198"/>
    </row>
    <row r="137" spans="1:13" ht="78.75" hidden="1">
      <c r="A137" s="24"/>
      <c r="B137" s="62">
        <v>34</v>
      </c>
      <c r="C137" s="22"/>
      <c r="D137" s="22"/>
      <c r="E137" s="22"/>
      <c r="F137" s="99" t="s">
        <v>64</v>
      </c>
      <c r="G137" s="109">
        <f aca="true" t="shared" si="21" ref="G137:J138">G138</f>
        <v>0</v>
      </c>
      <c r="H137" s="109">
        <f t="shared" si="21"/>
        <v>0</v>
      </c>
      <c r="I137" s="109">
        <f t="shared" si="21"/>
        <v>0</v>
      </c>
      <c r="J137" s="240">
        <f t="shared" si="21"/>
        <v>0</v>
      </c>
      <c r="K137" s="109"/>
      <c r="L137" s="94"/>
      <c r="M137" s="114">
        <f>J137+K137+L137</f>
        <v>0</v>
      </c>
    </row>
    <row r="138" spans="1:13" ht="15.75" hidden="1">
      <c r="A138" s="24"/>
      <c r="B138" s="62"/>
      <c r="C138" s="22"/>
      <c r="D138" s="22"/>
      <c r="E138" s="11"/>
      <c r="F138" s="8" t="s">
        <v>9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241">
        <f t="shared" si="21"/>
        <v>0</v>
      </c>
      <c r="K138" s="94"/>
      <c r="L138" s="94"/>
      <c r="M138" s="97">
        <f>J138+K138+L138</f>
        <v>0</v>
      </c>
    </row>
    <row r="139" spans="1:13" ht="15.75" hidden="1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0</v>
      </c>
      <c r="H139" s="95">
        <f>H140+H141</f>
        <v>0</v>
      </c>
      <c r="I139" s="95">
        <f>I140+I141</f>
        <v>0</v>
      </c>
      <c r="J139" s="242">
        <f>J140+J141</f>
        <v>0</v>
      </c>
      <c r="K139" s="95"/>
      <c r="L139" s="95"/>
      <c r="M139" s="98">
        <f>J139+K139+L139</f>
        <v>0</v>
      </c>
    </row>
    <row r="140" spans="1:13" ht="15.75" hidden="1">
      <c r="A140" s="24"/>
      <c r="B140" s="62"/>
      <c r="C140" s="22"/>
      <c r="D140" s="22"/>
      <c r="E140" s="11">
        <v>12</v>
      </c>
      <c r="F140" s="11"/>
      <c r="G140" s="95"/>
      <c r="H140" s="95"/>
      <c r="I140" s="95"/>
      <c r="J140" s="242"/>
      <c r="K140" s="95"/>
      <c r="L140" s="100"/>
      <c r="M140" s="98">
        <f>J140+K140+L140</f>
        <v>0</v>
      </c>
    </row>
    <row r="141" spans="1:13" ht="15.75" hidden="1">
      <c r="A141" s="64"/>
      <c r="B141" s="65"/>
      <c r="C141" s="23"/>
      <c r="D141" s="23"/>
      <c r="E141" s="14">
        <v>13</v>
      </c>
      <c r="F141" s="14"/>
      <c r="G141" s="96"/>
      <c r="H141" s="96"/>
      <c r="I141" s="96"/>
      <c r="J141" s="243"/>
      <c r="K141" s="96"/>
      <c r="L141" s="107"/>
      <c r="M141" s="196">
        <f>J141+K141+L141</f>
        <v>0</v>
      </c>
    </row>
    <row r="142" spans="1:13" ht="15.75" hidden="1">
      <c r="A142" s="24"/>
      <c r="B142" s="62"/>
      <c r="C142" s="22"/>
      <c r="D142" s="22"/>
      <c r="E142" s="11"/>
      <c r="F142" s="18" t="s">
        <v>50</v>
      </c>
      <c r="G142" s="95"/>
      <c r="H142" s="95"/>
      <c r="I142" s="95"/>
      <c r="J142" s="242"/>
      <c r="K142" s="95"/>
      <c r="L142" s="104"/>
      <c r="M142" s="98"/>
    </row>
    <row r="143" spans="1:13" ht="36.75" customHeight="1" hidden="1">
      <c r="A143" s="24"/>
      <c r="B143" s="62">
        <v>35</v>
      </c>
      <c r="C143" s="22"/>
      <c r="D143" s="22"/>
      <c r="E143" s="11"/>
      <c r="F143" s="4" t="s">
        <v>65</v>
      </c>
      <c r="G143" s="109">
        <f aca="true" t="shared" si="22" ref="G143:K145">G144</f>
        <v>0</v>
      </c>
      <c r="H143" s="109">
        <f t="shared" si="22"/>
        <v>0</v>
      </c>
      <c r="I143" s="109">
        <f t="shared" si="22"/>
        <v>0</v>
      </c>
      <c r="J143" s="240">
        <f t="shared" si="22"/>
        <v>0</v>
      </c>
      <c r="K143" s="109">
        <f t="shared" si="22"/>
        <v>0</v>
      </c>
      <c r="L143" s="95"/>
      <c r="M143" s="114">
        <f>J143+K143+L143</f>
        <v>0</v>
      </c>
    </row>
    <row r="144" spans="1:13" ht="15.75" hidden="1">
      <c r="A144" s="24"/>
      <c r="B144" s="62"/>
      <c r="C144" s="22"/>
      <c r="D144" s="22"/>
      <c r="E144" s="11"/>
      <c r="F144" s="8" t="s">
        <v>9</v>
      </c>
      <c r="G144" s="94">
        <f t="shared" si="22"/>
        <v>0</v>
      </c>
      <c r="H144" s="94">
        <f t="shared" si="22"/>
        <v>0</v>
      </c>
      <c r="I144" s="94">
        <f t="shared" si="22"/>
        <v>0</v>
      </c>
      <c r="J144" s="241">
        <f t="shared" si="22"/>
        <v>0</v>
      </c>
      <c r="K144" s="94">
        <f t="shared" si="22"/>
        <v>0</v>
      </c>
      <c r="L144" s="94"/>
      <c r="M144" s="97">
        <f>J144+K144+L144</f>
        <v>0</v>
      </c>
    </row>
    <row r="145" spans="1:13" ht="15.75" hidden="1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0</v>
      </c>
      <c r="H145" s="95">
        <f t="shared" si="22"/>
        <v>0</v>
      </c>
      <c r="I145" s="95">
        <f>I146</f>
        <v>0</v>
      </c>
      <c r="J145" s="242">
        <f t="shared" si="22"/>
        <v>0</v>
      </c>
      <c r="K145" s="95">
        <f t="shared" si="22"/>
        <v>0</v>
      </c>
      <c r="L145" s="95"/>
      <c r="M145" s="98">
        <f>J145+K145+L145</f>
        <v>0</v>
      </c>
    </row>
    <row r="146" spans="1:13" ht="17.25" customHeight="1" hidden="1">
      <c r="A146" s="64"/>
      <c r="B146" s="65"/>
      <c r="C146" s="23"/>
      <c r="D146" s="23"/>
      <c r="E146" s="14">
        <v>12</v>
      </c>
      <c r="F146" s="14"/>
      <c r="G146" s="96"/>
      <c r="H146" s="96"/>
      <c r="I146" s="96"/>
      <c r="J146" s="243"/>
      <c r="K146" s="96"/>
      <c r="L146" s="107"/>
      <c r="M146" s="98">
        <f>J146+K146+L146</f>
        <v>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>G19+G13</f>
        <v>594000</v>
      </c>
      <c r="H198" s="251">
        <f aca="true" t="shared" si="27" ref="H198:M198">H19+H13+H24+H30+H40+H46+H56+H62+H67+H74+H81+H88+H94+H100+H110+H115+H121+H126+H131+H138+H144+H149+H159+H165+H170+H176+H182+H187+H194+H35</f>
        <v>630000</v>
      </c>
      <c r="I198" s="251">
        <f t="shared" si="27"/>
        <v>343000</v>
      </c>
      <c r="J198" s="251">
        <f t="shared" si="27"/>
        <v>558000</v>
      </c>
      <c r="K198" s="251">
        <f t="shared" si="27"/>
        <v>0</v>
      </c>
      <c r="L198" s="251">
        <f t="shared" si="27"/>
        <v>0</v>
      </c>
      <c r="M198" s="252">
        <f t="shared" si="27"/>
        <v>558000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3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594000</v>
      </c>
      <c r="H200" s="245">
        <f aca="true" t="shared" si="28" ref="H200:M200">H12+H18+H23+H29+H39+H45+H55+H61+H66+H73+H80+H87+H93+H99+H109+H114+H120+H125+H130+H137+H143+H148+H158+H164+H169+H175+H181+H186+H193</f>
        <v>630000</v>
      </c>
      <c r="I200" s="245">
        <f t="shared" si="28"/>
        <v>343000</v>
      </c>
      <c r="J200" s="245">
        <f t="shared" si="28"/>
        <v>558000</v>
      </c>
      <c r="K200" s="245">
        <f t="shared" si="28"/>
        <v>0</v>
      </c>
      <c r="L200" s="245">
        <f t="shared" si="28"/>
        <v>0</v>
      </c>
      <c r="M200" s="246">
        <f t="shared" si="28"/>
        <v>558000</v>
      </c>
    </row>
    <row r="201" spans="1:13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v>0</v>
      </c>
      <c r="H202" s="12">
        <v>0</v>
      </c>
      <c r="I202" s="12">
        <v>0</v>
      </c>
      <c r="J202" s="259">
        <v>0</v>
      </c>
      <c r="K202" s="12">
        <v>0</v>
      </c>
      <c r="L202" s="12">
        <v>0</v>
      </c>
      <c r="M202" s="81">
        <v>0</v>
      </c>
    </row>
    <row r="203" spans="1:13" ht="15.75">
      <c r="A203" s="24"/>
      <c r="B203" s="7"/>
      <c r="C203" s="8" t="s">
        <v>16</v>
      </c>
      <c r="D203" s="8"/>
      <c r="E203" s="8"/>
      <c r="F203" s="8"/>
      <c r="G203" s="9">
        <f aca="true" t="shared" si="30" ref="G203:M203">G204+G205+G206</f>
        <v>594000</v>
      </c>
      <c r="H203" s="9">
        <f t="shared" si="30"/>
        <v>630000</v>
      </c>
      <c r="I203" s="9">
        <f t="shared" si="30"/>
        <v>343000</v>
      </c>
      <c r="J203" s="238">
        <f t="shared" si="30"/>
        <v>558000</v>
      </c>
      <c r="K203" s="9">
        <f t="shared" si="30"/>
        <v>0</v>
      </c>
      <c r="L203" s="9">
        <f t="shared" si="30"/>
        <v>0</v>
      </c>
      <c r="M203" s="83">
        <f t="shared" si="30"/>
        <v>558000</v>
      </c>
    </row>
    <row r="204" spans="1:13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1" ref="G204:M204">G15+G21+G26+G32+G42+G48+G58+G64+G76+G83+G90+G96+G102+G112+G117+G123+G133+G140+G146+G161+G167+G172+G178+G189+G196+G69+G128+G151+G184+G36</f>
        <v>520000</v>
      </c>
      <c r="H204" s="12">
        <f t="shared" si="31"/>
        <v>520000</v>
      </c>
      <c r="I204" s="12">
        <f t="shared" si="31"/>
        <v>275000</v>
      </c>
      <c r="J204" s="232">
        <f t="shared" si="31"/>
        <v>558000</v>
      </c>
      <c r="K204" s="12">
        <f t="shared" si="31"/>
        <v>0</v>
      </c>
      <c r="L204" s="12">
        <f t="shared" si="31"/>
        <v>0</v>
      </c>
      <c r="M204" s="81">
        <f t="shared" si="31"/>
        <v>558000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2" ref="G205:M205">G16+G27+G43+G59+G103+G118+G141+G162+G179</f>
        <v>74000</v>
      </c>
      <c r="H205" s="12">
        <f t="shared" si="32"/>
        <v>110000</v>
      </c>
      <c r="I205" s="12">
        <f t="shared" si="32"/>
        <v>68000</v>
      </c>
      <c r="J205" s="259">
        <f t="shared" si="32"/>
        <v>0</v>
      </c>
      <c r="K205" s="12">
        <f t="shared" si="32"/>
        <v>0</v>
      </c>
      <c r="L205" s="12">
        <f t="shared" si="32"/>
        <v>0</v>
      </c>
      <c r="M205" s="81">
        <f t="shared" si="32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3" ref="G206:M206">G70+G77+G84+G134+G190</f>
        <v>0</v>
      </c>
      <c r="H206" s="15">
        <f t="shared" si="33"/>
        <v>0</v>
      </c>
      <c r="I206" s="15">
        <f t="shared" si="33"/>
        <v>0</v>
      </c>
      <c r="J206" s="260">
        <f t="shared" si="33"/>
        <v>0</v>
      </c>
      <c r="K206" s="15">
        <f t="shared" si="33"/>
        <v>0</v>
      </c>
      <c r="L206" s="15">
        <f t="shared" si="33"/>
        <v>0</v>
      </c>
      <c r="M206" s="84">
        <f t="shared" si="33"/>
        <v>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 aca="true" t="shared" si="34" ref="G208:M208">G10-G198</f>
        <v>0</v>
      </c>
      <c r="H208" s="12">
        <f t="shared" si="34"/>
        <v>0</v>
      </c>
      <c r="I208" s="12">
        <f t="shared" si="34"/>
        <v>0</v>
      </c>
      <c r="J208" s="12">
        <f t="shared" si="34"/>
        <v>0</v>
      </c>
      <c r="K208" s="12">
        <f t="shared" si="34"/>
        <v>0</v>
      </c>
      <c r="L208" s="12">
        <f t="shared" si="34"/>
        <v>0</v>
      </c>
      <c r="M208" s="12">
        <f t="shared" si="34"/>
        <v>0</v>
      </c>
    </row>
    <row r="209" spans="1:15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5" ref="H209:M209">H198-H200</f>
        <v>0</v>
      </c>
      <c r="I209" s="12">
        <f t="shared" si="35"/>
        <v>0</v>
      </c>
      <c r="J209" s="12">
        <f t="shared" si="35"/>
        <v>0</v>
      </c>
      <c r="K209" s="12">
        <f t="shared" si="35"/>
        <v>0</v>
      </c>
      <c r="L209" s="12">
        <f t="shared" si="35"/>
        <v>0</v>
      </c>
      <c r="M209" s="12">
        <f t="shared" si="35"/>
        <v>0</v>
      </c>
      <c r="N209"/>
      <c r="O209"/>
    </row>
    <row r="210" spans="7:15" ht="12.75">
      <c r="G210" s="123">
        <f>G200-G10</f>
        <v>0</v>
      </c>
      <c r="H210" s="123">
        <f aca="true" t="shared" si="36" ref="H210:M210">H200-H10</f>
        <v>0</v>
      </c>
      <c r="I210" s="123">
        <f t="shared" si="36"/>
        <v>0</v>
      </c>
      <c r="J210" s="123">
        <f t="shared" si="36"/>
        <v>0</v>
      </c>
      <c r="K210" s="123">
        <f t="shared" si="36"/>
        <v>0</v>
      </c>
      <c r="L210" s="123">
        <f t="shared" si="36"/>
        <v>0</v>
      </c>
      <c r="M210" s="123">
        <f t="shared" si="36"/>
        <v>0</v>
      </c>
      <c r="N210"/>
      <c r="O210"/>
    </row>
    <row r="211" spans="7:15" ht="12.75">
      <c r="G211" s="123"/>
      <c r="H211" s="123"/>
      <c r="I211" s="194"/>
      <c r="J211" s="123"/>
      <c r="K211" s="123"/>
      <c r="L211" s="123"/>
      <c r="M211" s="123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7:15" ht="15.75">
      <c r="G213" s="354"/>
      <c r="H213" s="354"/>
      <c r="I213" s="354"/>
      <c r="J213" s="354"/>
      <c r="K213" s="354"/>
      <c r="L213" s="354"/>
      <c r="M213" s="354"/>
      <c r="N213"/>
      <c r="O213"/>
    </row>
    <row r="214" spans="6:15" ht="15.75">
      <c r="F214" s="314"/>
      <c r="G214" s="339"/>
      <c r="H214" s="339"/>
      <c r="I214" s="339"/>
      <c r="J214" s="339"/>
      <c r="K214" s="339"/>
      <c r="L214" s="339"/>
      <c r="M214" s="339"/>
      <c r="N214"/>
      <c r="O214"/>
    </row>
    <row r="215" spans="6:15" ht="15.75">
      <c r="F215" s="314"/>
      <c r="G215" s="314"/>
      <c r="H215" s="343"/>
      <c r="I215" s="104"/>
      <c r="J215" s="342"/>
      <c r="K215" s="314"/>
      <c r="N215"/>
      <c r="O215"/>
    </row>
    <row r="216" spans="6:15" ht="15.75">
      <c r="F216" s="314"/>
      <c r="G216" s="314"/>
      <c r="H216" s="314"/>
      <c r="I216" s="104"/>
      <c r="J216" s="314"/>
      <c r="K216" s="314"/>
      <c r="N216"/>
      <c r="O216"/>
    </row>
    <row r="217" spans="6:15" ht="15.75">
      <c r="F217" s="314"/>
      <c r="G217" s="314"/>
      <c r="H217" s="314"/>
      <c r="I217" s="292"/>
      <c r="J217" s="314"/>
      <c r="K217" s="314"/>
      <c r="N217"/>
      <c r="O217"/>
    </row>
    <row r="218" spans="9:15" ht="12.75">
      <c r="I218" s="194"/>
      <c r="N218"/>
      <c r="O218"/>
    </row>
  </sheetData>
  <sheetProtection/>
  <mergeCells count="82">
    <mergeCell ref="M154:M155"/>
    <mergeCell ref="K155:L156"/>
    <mergeCell ref="C160:D160"/>
    <mergeCell ref="C166:D166"/>
    <mergeCell ref="C150:D150"/>
    <mergeCell ref="A153:M153"/>
    <mergeCell ref="A154:A156"/>
    <mergeCell ref="B154:B156"/>
    <mergeCell ref="C154:C156"/>
    <mergeCell ref="D154:D156"/>
    <mergeCell ref="F212:G212"/>
    <mergeCell ref="C171:D171"/>
    <mergeCell ref="C177:D177"/>
    <mergeCell ref="C183:D183"/>
    <mergeCell ref="C188:D188"/>
    <mergeCell ref="C195:D195"/>
    <mergeCell ref="A200:F200"/>
    <mergeCell ref="E154:E156"/>
    <mergeCell ref="F154:F156"/>
    <mergeCell ref="I154:I156"/>
    <mergeCell ref="J154:J156"/>
    <mergeCell ref="K106:L107"/>
    <mergeCell ref="C111:D111"/>
    <mergeCell ref="C116:D116"/>
    <mergeCell ref="C122:D122"/>
    <mergeCell ref="C127:D127"/>
    <mergeCell ref="C132:D132"/>
    <mergeCell ref="C139:D139"/>
    <mergeCell ref="C145:D145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C68:D68"/>
    <mergeCell ref="C75:D75"/>
    <mergeCell ref="C82:D82"/>
    <mergeCell ref="C89:D89"/>
    <mergeCell ref="C95:D95"/>
    <mergeCell ref="C101:D101"/>
    <mergeCell ref="I51:I53"/>
    <mergeCell ref="J51:J53"/>
    <mergeCell ref="M51:M52"/>
    <mergeCell ref="K52:L53"/>
    <mergeCell ref="C57:D57"/>
    <mergeCell ref="C63:D63"/>
    <mergeCell ref="A51:A53"/>
    <mergeCell ref="B51:B53"/>
    <mergeCell ref="C51:C53"/>
    <mergeCell ref="D51:D53"/>
    <mergeCell ref="E51:E53"/>
    <mergeCell ref="F51:F53"/>
    <mergeCell ref="C25:D25"/>
    <mergeCell ref="C31:D31"/>
    <mergeCell ref="C35:D35"/>
    <mergeCell ref="C41:D41"/>
    <mergeCell ref="C47:D47"/>
    <mergeCell ref="A50:M50"/>
    <mergeCell ref="I7:I9"/>
    <mergeCell ref="J7:J9"/>
    <mergeCell ref="M7:M8"/>
    <mergeCell ref="K8:L9"/>
    <mergeCell ref="C14:D14"/>
    <mergeCell ref="C20:D20"/>
    <mergeCell ref="H7:H9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A6:M6"/>
  </mergeCells>
  <printOptions/>
  <pageMargins left="0.39" right="0.17" top="0.75" bottom="0.75" header="0.3" footer="0.3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816C0"/>
  </sheetPr>
  <dimension ref="A1:O212"/>
  <sheetViews>
    <sheetView zoomScalePageLayoutView="0" workbookViewId="0" topLeftCell="A25">
      <selection activeCell="A1" sqref="A1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8" width="12.00390625" style="0" customWidth="1"/>
    <col min="9" max="9" width="13.7109375" style="0" customWidth="1"/>
    <col min="10" max="10" width="13.00390625" style="0" customWidth="1"/>
    <col min="11" max="12" width="8.7109375" style="0" customWidth="1"/>
    <col min="13" max="13" width="14.28125" style="0" customWidth="1"/>
    <col min="15" max="15" width="11.28125" style="0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76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16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17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633000</v>
      </c>
      <c r="H10" s="203">
        <f aca="true" t="shared" si="0" ref="H10:M10">H12+H18+H23+H29+H39+H45+H55+H61+H66+H73+H80+H87+H93+H99+H109+H114+H120+H125+H130+H137+H143+H148+H158+H164+H169+H175+H181+H186+H193</f>
        <v>665000</v>
      </c>
      <c r="I10" s="203">
        <f t="shared" si="0"/>
        <v>140900</v>
      </c>
      <c r="J10" s="203">
        <f t="shared" si="0"/>
        <v>575000</v>
      </c>
      <c r="K10" s="203">
        <f t="shared" si="0"/>
        <v>0</v>
      </c>
      <c r="L10" s="203">
        <f t="shared" si="0"/>
        <v>0</v>
      </c>
      <c r="M10" s="208">
        <f t="shared" si="0"/>
        <v>575000</v>
      </c>
    </row>
    <row r="11" spans="1:13" ht="17.25">
      <c r="A11" s="189"/>
      <c r="B11" s="89"/>
      <c r="C11" s="190"/>
      <c r="D11" s="190"/>
      <c r="E11" s="190"/>
      <c r="F11" s="191"/>
      <c r="G11" s="192"/>
      <c r="H11" s="192"/>
      <c r="I11" s="192"/>
      <c r="J11" s="344"/>
      <c r="K11" s="192"/>
      <c r="L11" s="192"/>
      <c r="M11" s="193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3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>
        <v>0</v>
      </c>
      <c r="H21" s="96">
        <v>0</v>
      </c>
      <c r="I21" s="96">
        <v>0</v>
      </c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>
      <c r="A23" s="24"/>
      <c r="B23" s="62">
        <v>3</v>
      </c>
      <c r="C23" s="22"/>
      <c r="D23" s="22"/>
      <c r="E23" s="22"/>
      <c r="F23" s="99" t="s">
        <v>64</v>
      </c>
      <c r="G23" s="109">
        <f aca="true" t="shared" si="3" ref="G23:J24">G24</f>
        <v>268000</v>
      </c>
      <c r="H23" s="109">
        <f t="shared" si="3"/>
        <v>305000</v>
      </c>
      <c r="I23" s="109">
        <f t="shared" si="3"/>
        <v>128000</v>
      </c>
      <c r="J23" s="240">
        <f t="shared" si="3"/>
        <v>100000</v>
      </c>
      <c r="K23" s="109"/>
      <c r="L23" s="94"/>
      <c r="M23" s="114">
        <f>J23+K23+L23</f>
        <v>100000</v>
      </c>
    </row>
    <row r="24" spans="1:13" ht="15.75">
      <c r="A24" s="24"/>
      <c r="B24" s="62"/>
      <c r="C24" s="22"/>
      <c r="D24" s="22"/>
      <c r="E24" s="11"/>
      <c r="F24" s="8" t="s">
        <v>9</v>
      </c>
      <c r="G24" s="94">
        <f t="shared" si="3"/>
        <v>268000</v>
      </c>
      <c r="H24" s="94">
        <f t="shared" si="3"/>
        <v>305000</v>
      </c>
      <c r="I24" s="94">
        <f t="shared" si="3"/>
        <v>128000</v>
      </c>
      <c r="J24" s="241">
        <f t="shared" si="3"/>
        <v>100000</v>
      </c>
      <c r="K24" s="94"/>
      <c r="L24" s="94"/>
      <c r="M24" s="97">
        <f>J24+K24+L24</f>
        <v>100000</v>
      </c>
    </row>
    <row r="25" spans="1:13" ht="15.75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268000</v>
      </c>
      <c r="H25" s="95">
        <f>H26+H27</f>
        <v>305000</v>
      </c>
      <c r="I25" s="95">
        <f>I26+I27</f>
        <v>128000</v>
      </c>
      <c r="J25" s="242">
        <f>J26+J27</f>
        <v>100000</v>
      </c>
      <c r="K25" s="95"/>
      <c r="L25" s="95"/>
      <c r="M25" s="98">
        <f>J25+K25+L25</f>
        <v>100000</v>
      </c>
    </row>
    <row r="26" spans="1:15" ht="15.75">
      <c r="A26" s="24"/>
      <c r="B26" s="62"/>
      <c r="C26" s="22"/>
      <c r="D26" s="22"/>
      <c r="E26" s="11">
        <v>12</v>
      </c>
      <c r="F26" s="11"/>
      <c r="G26" s="95">
        <v>180000</v>
      </c>
      <c r="H26" s="95">
        <v>185000</v>
      </c>
      <c r="I26" s="95">
        <v>60000</v>
      </c>
      <c r="J26" s="242">
        <v>100000</v>
      </c>
      <c r="K26" s="95"/>
      <c r="L26" s="100"/>
      <c r="M26" s="98">
        <f>J26+K26+L26</f>
        <v>100000</v>
      </c>
      <c r="O26" s="194">
        <f>100000000/1000</f>
        <v>100000</v>
      </c>
    </row>
    <row r="27" spans="1:13" ht="15.75">
      <c r="A27" s="64"/>
      <c r="B27" s="65"/>
      <c r="C27" s="23"/>
      <c r="D27" s="23"/>
      <c r="E27" s="14">
        <v>13</v>
      </c>
      <c r="F27" s="14"/>
      <c r="G27" s="96">
        <v>88000</v>
      </c>
      <c r="H27" s="96">
        <v>120000</v>
      </c>
      <c r="I27" s="96">
        <v>68000</v>
      </c>
      <c r="J27" s="347">
        <v>0</v>
      </c>
      <c r="K27" s="96"/>
      <c r="L27" s="107"/>
      <c r="M27" s="366">
        <f>J27+K27+L27</f>
        <v>0</v>
      </c>
    </row>
    <row r="28" spans="1:13" ht="15.75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>
      <c r="A29" s="24"/>
      <c r="B29" s="62">
        <v>5</v>
      </c>
      <c r="C29" s="22"/>
      <c r="D29" s="22"/>
      <c r="E29" s="11"/>
      <c r="F29" s="4" t="s">
        <v>65</v>
      </c>
      <c r="G29" s="109">
        <f>G30</f>
        <v>365000</v>
      </c>
      <c r="H29" s="109">
        <f aca="true" t="shared" si="4" ref="G29:K31">H30</f>
        <v>360000</v>
      </c>
      <c r="I29" s="109">
        <f t="shared" si="4"/>
        <v>12900</v>
      </c>
      <c r="J29" s="240">
        <f t="shared" si="4"/>
        <v>475000</v>
      </c>
      <c r="K29" s="361">
        <f t="shared" si="4"/>
        <v>0</v>
      </c>
      <c r="L29" s="95"/>
      <c r="M29" s="114">
        <f>J29+K29+L29</f>
        <v>475000</v>
      </c>
    </row>
    <row r="30" spans="1:13" ht="15.75">
      <c r="A30" s="24"/>
      <c r="B30" s="62"/>
      <c r="C30" s="22"/>
      <c r="D30" s="22"/>
      <c r="E30" s="11"/>
      <c r="F30" s="8" t="s">
        <v>9</v>
      </c>
      <c r="G30" s="94">
        <f t="shared" si="4"/>
        <v>365000</v>
      </c>
      <c r="H30" s="94">
        <f t="shared" si="4"/>
        <v>360000</v>
      </c>
      <c r="I30" s="94">
        <f t="shared" si="4"/>
        <v>12900</v>
      </c>
      <c r="J30" s="241">
        <f t="shared" si="4"/>
        <v>475000</v>
      </c>
      <c r="K30" s="363">
        <f t="shared" si="4"/>
        <v>0</v>
      </c>
      <c r="L30" s="95"/>
      <c r="M30" s="97">
        <f>J30+K30+L30</f>
        <v>475000</v>
      </c>
    </row>
    <row r="31" spans="1:13" ht="15.75">
      <c r="A31" s="24"/>
      <c r="B31" s="62"/>
      <c r="C31" s="482">
        <v>2504</v>
      </c>
      <c r="D31" s="482"/>
      <c r="E31" s="11"/>
      <c r="F31" s="11" t="s">
        <v>10</v>
      </c>
      <c r="G31" s="95">
        <f t="shared" si="4"/>
        <v>365000</v>
      </c>
      <c r="H31" s="95">
        <f t="shared" si="4"/>
        <v>360000</v>
      </c>
      <c r="I31" s="95">
        <f>I32</f>
        <v>12900</v>
      </c>
      <c r="J31" s="242">
        <f t="shared" si="4"/>
        <v>475000</v>
      </c>
      <c r="K31" s="365">
        <f t="shared" si="4"/>
        <v>0</v>
      </c>
      <c r="L31" s="95"/>
      <c r="M31" s="98">
        <f>J31+K31+L31</f>
        <v>475000</v>
      </c>
    </row>
    <row r="32" spans="1:13" ht="15.75">
      <c r="A32" s="64"/>
      <c r="B32" s="65"/>
      <c r="C32" s="23"/>
      <c r="D32" s="23"/>
      <c r="E32" s="14">
        <v>12</v>
      </c>
      <c r="F32" s="14"/>
      <c r="G32" s="96">
        <v>365000</v>
      </c>
      <c r="H32" s="96">
        <v>360000</v>
      </c>
      <c r="I32" s="96">
        <v>12900</v>
      </c>
      <c r="J32" s="243">
        <v>475000</v>
      </c>
      <c r="K32" s="370">
        <v>0</v>
      </c>
      <c r="L32" s="107"/>
      <c r="M32" s="196">
        <f>J32+K32+L32</f>
        <v>475000</v>
      </c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>
        <v>0</v>
      </c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>
        <v>0</v>
      </c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12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>
        <v>0</v>
      </c>
      <c r="H42" s="95">
        <v>0</v>
      </c>
      <c r="I42" s="95">
        <v>0</v>
      </c>
      <c r="J42" s="242">
        <v>0</v>
      </c>
      <c r="K42" s="95"/>
      <c r="L42" s="100"/>
      <c r="M42" s="98">
        <f>J42+K42+L42</f>
        <v>0</v>
      </c>
    </row>
    <row r="43" spans="1:13" ht="15.75" hidden="1">
      <c r="A43" s="64"/>
      <c r="B43" s="65"/>
      <c r="C43" s="23"/>
      <c r="D43" s="23"/>
      <c r="E43" s="14">
        <v>13</v>
      </c>
      <c r="F43" s="14"/>
      <c r="G43" s="96">
        <v>0</v>
      </c>
      <c r="H43" s="96">
        <v>0</v>
      </c>
      <c r="I43" s="96">
        <v>0</v>
      </c>
      <c r="J43" s="243">
        <v>0</v>
      </c>
      <c r="K43" s="96"/>
      <c r="L43" s="107"/>
      <c r="M43" s="196">
        <f>J43+K43+L43</f>
        <v>0</v>
      </c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13</v>
      </c>
      <c r="C45" s="22"/>
      <c r="D45" s="22"/>
      <c r="E45" s="11"/>
      <c r="F45" s="4" t="s">
        <v>65</v>
      </c>
      <c r="G45" s="109">
        <f aca="true" t="shared" si="6" ref="G45:K47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>
        <f t="shared" si="6"/>
        <v>0</v>
      </c>
      <c r="H47" s="95">
        <f t="shared" si="6"/>
        <v>0</v>
      </c>
      <c r="I47" s="95">
        <f>I48</f>
        <v>0</v>
      </c>
      <c r="J47" s="242">
        <f t="shared" si="6"/>
        <v>0</v>
      </c>
      <c r="K47" s="95">
        <f t="shared" si="6"/>
        <v>0</v>
      </c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>
        <v>0</v>
      </c>
      <c r="H48" s="96">
        <v>0</v>
      </c>
      <c r="I48" s="96">
        <v>0</v>
      </c>
      <c r="J48" s="243">
        <v>0</v>
      </c>
      <c r="K48" s="96">
        <v>0</v>
      </c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15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 t="shared" si="7"/>
        <v>0</v>
      </c>
      <c r="K55" s="109"/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/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>
        <f>G58+G59</f>
        <v>0</v>
      </c>
      <c r="H57" s="95">
        <f>H58+H59</f>
        <v>0</v>
      </c>
      <c r="I57" s="95">
        <f>I58+I59</f>
        <v>0</v>
      </c>
      <c r="J57" s="242">
        <f>J58+J59</f>
        <v>0</v>
      </c>
      <c r="K57" s="95"/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>
        <v>0</v>
      </c>
      <c r="H58" s="95">
        <v>0</v>
      </c>
      <c r="I58" s="95">
        <v>0</v>
      </c>
      <c r="J58" s="242">
        <v>0</v>
      </c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>
        <v>0</v>
      </c>
      <c r="H59" s="96">
        <v>0</v>
      </c>
      <c r="I59" s="96">
        <v>0</v>
      </c>
      <c r="J59" s="243">
        <v>0</v>
      </c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16</v>
      </c>
      <c r="C61" s="22"/>
      <c r="D61" s="22"/>
      <c r="E61" s="11"/>
      <c r="F61" s="4" t="s">
        <v>24</v>
      </c>
      <c r="G61" s="109">
        <f aca="true" t="shared" si="8" ref="G61:K63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 t="shared" si="8"/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>
        <f>G64</f>
        <v>0</v>
      </c>
      <c r="H63" s="95">
        <f t="shared" si="8"/>
        <v>0</v>
      </c>
      <c r="I63" s="95">
        <f>I64</f>
        <v>0</v>
      </c>
      <c r="J63" s="242">
        <f t="shared" si="8"/>
        <v>0</v>
      </c>
      <c r="K63" s="95">
        <f t="shared" si="8"/>
        <v>0</v>
      </c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>
        <v>0</v>
      </c>
      <c r="H64" s="96">
        <v>0</v>
      </c>
      <c r="I64" s="96">
        <v>0</v>
      </c>
      <c r="J64" s="243">
        <v>0</v>
      </c>
      <c r="K64" s="96">
        <v>0</v>
      </c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>
        <v>0</v>
      </c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>
        <v>0</v>
      </c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>
        <v>0</v>
      </c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19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3" ht="15.75" hidden="1">
      <c r="A76" s="24"/>
      <c r="B76" s="62"/>
      <c r="C76" s="26"/>
      <c r="D76" s="26"/>
      <c r="E76" s="11">
        <v>12</v>
      </c>
      <c r="F76" s="11"/>
      <c r="G76" s="95">
        <v>0</v>
      </c>
      <c r="H76" s="95"/>
      <c r="I76" s="95"/>
      <c r="J76" s="242"/>
      <c r="K76" s="95"/>
      <c r="L76" s="95"/>
      <c r="M76" s="98">
        <f t="shared" si="10"/>
        <v>0</v>
      </c>
    </row>
    <row r="77" spans="1:13" ht="15.75" hidden="1">
      <c r="A77" s="24"/>
      <c r="B77" s="62"/>
      <c r="C77" s="26"/>
      <c r="D77" s="26"/>
      <c r="E77" s="11">
        <v>14</v>
      </c>
      <c r="F77" s="11"/>
      <c r="G77" s="95">
        <v>0</v>
      </c>
      <c r="H77" s="95"/>
      <c r="I77" s="95"/>
      <c r="J77" s="242"/>
      <c r="K77" s="95"/>
      <c r="L77" s="95"/>
      <c r="M77" s="98">
        <f t="shared" si="10"/>
        <v>0</v>
      </c>
    </row>
    <row r="78" spans="1:13" ht="15.75" hidden="1">
      <c r="A78" s="64"/>
      <c r="B78" s="65"/>
      <c r="C78" s="23"/>
      <c r="D78" s="23"/>
      <c r="E78" s="14">
        <v>17</v>
      </c>
      <c r="F78" s="14"/>
      <c r="G78" s="96">
        <v>0</v>
      </c>
      <c r="H78" s="96"/>
      <c r="I78" s="96"/>
      <c r="J78" s="243"/>
      <c r="K78" s="107"/>
      <c r="L78" s="107"/>
      <c r="M78" s="196">
        <f t="shared" si="10"/>
        <v>0</v>
      </c>
    </row>
    <row r="79" spans="1:13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</row>
    <row r="80" spans="1:13" ht="45.75" customHeight="1" hidden="1">
      <c r="A80" s="24"/>
      <c r="B80" s="62">
        <v>20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3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</row>
    <row r="84" spans="1:13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</row>
    <row r="85" spans="1:13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21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3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</row>
    <row r="91" spans="1:13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22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3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</row>
    <row r="97" spans="1:13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24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18" t="s">
        <v>11</v>
      </c>
      <c r="B104" s="518"/>
      <c r="C104" s="518"/>
      <c r="D104" s="518"/>
      <c r="E104" s="518"/>
      <c r="F104" s="518"/>
      <c r="G104" s="518"/>
      <c r="H104" s="518"/>
      <c r="I104" s="518"/>
      <c r="J104" s="518"/>
      <c r="K104" s="518"/>
      <c r="L104" s="518"/>
      <c r="M104" s="518"/>
    </row>
    <row r="105" spans="1:13" ht="17.25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25</v>
      </c>
      <c r="C109" s="22"/>
      <c r="D109" s="22"/>
      <c r="E109" s="11"/>
      <c r="F109" s="4" t="s">
        <v>65</v>
      </c>
      <c r="G109" s="109">
        <f aca="true" t="shared" si="16" ref="G109:K110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/>
      <c r="H111" s="95"/>
      <c r="I111" s="95"/>
      <c r="J111" s="242"/>
      <c r="K111" s="95"/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28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29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98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31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3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</row>
    <row r="134" spans="1:13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</row>
    <row r="135" spans="1:13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</row>
    <row r="136" spans="1:13" ht="15.75" hidden="1">
      <c r="A136" s="24"/>
      <c r="B136" s="62"/>
      <c r="C136" s="22"/>
      <c r="D136" s="22"/>
      <c r="E136" s="11"/>
      <c r="F136" s="18" t="s">
        <v>50</v>
      </c>
      <c r="G136" s="95"/>
      <c r="H136" s="95"/>
      <c r="I136" s="95"/>
      <c r="J136" s="242"/>
      <c r="K136" s="104"/>
      <c r="L136" s="104"/>
      <c r="M136" s="198"/>
    </row>
    <row r="137" spans="1:13" ht="78.75" hidden="1">
      <c r="A137" s="24"/>
      <c r="B137" s="62">
        <v>34</v>
      </c>
      <c r="C137" s="22"/>
      <c r="D137" s="22"/>
      <c r="E137" s="22"/>
      <c r="F137" s="99" t="s">
        <v>64</v>
      </c>
      <c r="G137" s="109">
        <f aca="true" t="shared" si="21" ref="G137:J138">G138</f>
        <v>0</v>
      </c>
      <c r="H137" s="109">
        <f t="shared" si="21"/>
        <v>0</v>
      </c>
      <c r="I137" s="109">
        <f t="shared" si="21"/>
        <v>0</v>
      </c>
      <c r="J137" s="240">
        <f t="shared" si="21"/>
        <v>0</v>
      </c>
      <c r="K137" s="109"/>
      <c r="L137" s="94"/>
      <c r="M137" s="114">
        <f>J137+K137+L137</f>
        <v>0</v>
      </c>
    </row>
    <row r="138" spans="1:13" ht="15.75" hidden="1">
      <c r="A138" s="24"/>
      <c r="B138" s="62"/>
      <c r="C138" s="22"/>
      <c r="D138" s="22"/>
      <c r="E138" s="11"/>
      <c r="F138" s="8" t="s">
        <v>9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241">
        <f t="shared" si="21"/>
        <v>0</v>
      </c>
      <c r="K138" s="94"/>
      <c r="L138" s="94"/>
      <c r="M138" s="97">
        <f>J138+K138+L138</f>
        <v>0</v>
      </c>
    </row>
    <row r="139" spans="1:13" ht="15.75" hidden="1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0</v>
      </c>
      <c r="H139" s="95">
        <f>H140+H141</f>
        <v>0</v>
      </c>
      <c r="I139" s="95">
        <f>I140+I141</f>
        <v>0</v>
      </c>
      <c r="J139" s="242">
        <f>J140+J141</f>
        <v>0</v>
      </c>
      <c r="K139" s="95"/>
      <c r="L139" s="95"/>
      <c r="M139" s="98">
        <f>J139+K139+L139</f>
        <v>0</v>
      </c>
    </row>
    <row r="140" spans="1:13" ht="15.75" hidden="1">
      <c r="A140" s="24"/>
      <c r="B140" s="62"/>
      <c r="C140" s="22"/>
      <c r="D140" s="22"/>
      <c r="E140" s="11">
        <v>12</v>
      </c>
      <c r="F140" s="11"/>
      <c r="G140" s="95"/>
      <c r="H140" s="95"/>
      <c r="I140" s="95"/>
      <c r="J140" s="242"/>
      <c r="K140" s="95"/>
      <c r="L140" s="100"/>
      <c r="M140" s="98">
        <f>J140+K140+L140</f>
        <v>0</v>
      </c>
    </row>
    <row r="141" spans="1:13" ht="15.75" hidden="1">
      <c r="A141" s="64"/>
      <c r="B141" s="65"/>
      <c r="C141" s="23"/>
      <c r="D141" s="23"/>
      <c r="E141" s="14">
        <v>13</v>
      </c>
      <c r="F141" s="14"/>
      <c r="G141" s="96"/>
      <c r="H141" s="96"/>
      <c r="I141" s="96"/>
      <c r="J141" s="243"/>
      <c r="K141" s="96"/>
      <c r="L141" s="107"/>
      <c r="M141" s="196">
        <f>J141+K141+L141</f>
        <v>0</v>
      </c>
    </row>
    <row r="142" spans="1:13" ht="15.75" hidden="1">
      <c r="A142" s="24"/>
      <c r="B142" s="62"/>
      <c r="C142" s="22"/>
      <c r="D142" s="22"/>
      <c r="E142" s="11"/>
      <c r="F142" s="18" t="s">
        <v>50</v>
      </c>
      <c r="G142" s="95"/>
      <c r="H142" s="95"/>
      <c r="I142" s="95"/>
      <c r="J142" s="242"/>
      <c r="K142" s="95"/>
      <c r="L142" s="104"/>
      <c r="M142" s="98"/>
    </row>
    <row r="143" spans="1:13" ht="36.75" customHeight="1" hidden="1">
      <c r="A143" s="24"/>
      <c r="B143" s="62">
        <v>35</v>
      </c>
      <c r="C143" s="22"/>
      <c r="D143" s="22"/>
      <c r="E143" s="11"/>
      <c r="F143" s="4" t="s">
        <v>65</v>
      </c>
      <c r="G143" s="109">
        <f aca="true" t="shared" si="22" ref="G143:K145">G144</f>
        <v>0</v>
      </c>
      <c r="H143" s="109">
        <f t="shared" si="22"/>
        <v>0</v>
      </c>
      <c r="I143" s="109">
        <f t="shared" si="22"/>
        <v>0</v>
      </c>
      <c r="J143" s="240">
        <f t="shared" si="22"/>
        <v>0</v>
      </c>
      <c r="K143" s="109">
        <f t="shared" si="22"/>
        <v>0</v>
      </c>
      <c r="L143" s="95"/>
      <c r="M143" s="114">
        <f>J143+K143+L143</f>
        <v>0</v>
      </c>
    </row>
    <row r="144" spans="1:13" ht="15.75" hidden="1">
      <c r="A144" s="24"/>
      <c r="B144" s="62"/>
      <c r="C144" s="22"/>
      <c r="D144" s="22"/>
      <c r="E144" s="11"/>
      <c r="F144" s="8" t="s">
        <v>9</v>
      </c>
      <c r="G144" s="94">
        <f t="shared" si="22"/>
        <v>0</v>
      </c>
      <c r="H144" s="94">
        <f t="shared" si="22"/>
        <v>0</v>
      </c>
      <c r="I144" s="94">
        <f t="shared" si="22"/>
        <v>0</v>
      </c>
      <c r="J144" s="241">
        <f t="shared" si="22"/>
        <v>0</v>
      </c>
      <c r="K144" s="94">
        <f t="shared" si="22"/>
        <v>0</v>
      </c>
      <c r="L144" s="94"/>
      <c r="M144" s="97">
        <f>J144+K144+L144</f>
        <v>0</v>
      </c>
    </row>
    <row r="145" spans="1:13" ht="15.75" hidden="1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0</v>
      </c>
      <c r="H145" s="95">
        <f t="shared" si="22"/>
        <v>0</v>
      </c>
      <c r="I145" s="95">
        <f>I146</f>
        <v>0</v>
      </c>
      <c r="J145" s="242">
        <f t="shared" si="22"/>
        <v>0</v>
      </c>
      <c r="K145" s="95">
        <f t="shared" si="22"/>
        <v>0</v>
      </c>
      <c r="L145" s="95"/>
      <c r="M145" s="98">
        <f>J145+K145+L145</f>
        <v>0</v>
      </c>
    </row>
    <row r="146" spans="1:13" ht="17.25" customHeight="1" hidden="1">
      <c r="A146" s="64"/>
      <c r="B146" s="65"/>
      <c r="C146" s="23"/>
      <c r="D146" s="23"/>
      <c r="E146" s="14">
        <v>12</v>
      </c>
      <c r="F146" s="14"/>
      <c r="G146" s="96"/>
      <c r="H146" s="96"/>
      <c r="I146" s="96"/>
      <c r="J146" s="243"/>
      <c r="K146" s="96"/>
      <c r="L146" s="107"/>
      <c r="M146" s="98">
        <f>J146+K146+L146</f>
        <v>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hidden="1">
      <c r="A153" s="518" t="s">
        <v>11</v>
      </c>
      <c r="B153" s="518"/>
      <c r="C153" s="518"/>
      <c r="D153" s="518"/>
      <c r="E153" s="518"/>
      <c r="F153" s="518"/>
      <c r="G153" s="518"/>
      <c r="H153" s="518"/>
      <c r="I153" s="518"/>
      <c r="J153" s="518"/>
      <c r="K153" s="518"/>
      <c r="L153" s="518"/>
      <c r="M153" s="518"/>
    </row>
    <row r="154" spans="1:13" ht="17.25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 aca="true" t="shared" si="27" ref="G198:M198">G19+G13+G24+G30+G40+G46+G56+G62+G67+G74+G81+G88+G94+G100+G110+G115+G121+G126+G131+G138+G144+G149+G159+G165+G170+G176+G182+G187+G194+G35</f>
        <v>633000</v>
      </c>
      <c r="H198" s="251">
        <f t="shared" si="27"/>
        <v>665000</v>
      </c>
      <c r="I198" s="251">
        <f t="shared" si="27"/>
        <v>140900</v>
      </c>
      <c r="J198" s="251">
        <f t="shared" si="27"/>
        <v>575000</v>
      </c>
      <c r="K198" s="251">
        <f t="shared" si="27"/>
        <v>0</v>
      </c>
      <c r="L198" s="251">
        <f t="shared" si="27"/>
        <v>0</v>
      </c>
      <c r="M198" s="251">
        <f t="shared" si="27"/>
        <v>575000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3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633000</v>
      </c>
      <c r="H200" s="245">
        <f aca="true" t="shared" si="28" ref="H200:M200">H12+H18+H23+H29+H39+H45+H55+H61+H66+H73+H80+H87+H93+H99+H109+H114+H120+H125+H130+H137+H143+H148+H158+H164+H169+H175+H181+H186+H193</f>
        <v>665000</v>
      </c>
      <c r="I200" s="245">
        <f t="shared" si="28"/>
        <v>140900</v>
      </c>
      <c r="J200" s="245">
        <f t="shared" si="28"/>
        <v>575000</v>
      </c>
      <c r="K200" s="245">
        <f t="shared" si="28"/>
        <v>0</v>
      </c>
      <c r="L200" s="245">
        <f t="shared" si="28"/>
        <v>0</v>
      </c>
      <c r="M200" s="246">
        <f t="shared" si="28"/>
        <v>575000</v>
      </c>
    </row>
    <row r="201" spans="1:13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f aca="true" t="shared" si="30" ref="G202:M202">G71+G78+G85+G91+G97+G135+G152+G173+G191+G37</f>
        <v>0</v>
      </c>
      <c r="H202" s="12">
        <f t="shared" si="30"/>
        <v>0</v>
      </c>
      <c r="I202" s="12">
        <f t="shared" si="30"/>
        <v>0</v>
      </c>
      <c r="J202" s="259">
        <f t="shared" si="30"/>
        <v>0</v>
      </c>
      <c r="K202" s="12">
        <f t="shared" si="30"/>
        <v>0</v>
      </c>
      <c r="L202" s="12">
        <f t="shared" si="30"/>
        <v>0</v>
      </c>
      <c r="M202" s="81">
        <f t="shared" si="30"/>
        <v>0</v>
      </c>
    </row>
    <row r="203" spans="1:13" ht="15.75">
      <c r="A203" s="24"/>
      <c r="B203" s="7"/>
      <c r="C203" s="8" t="s">
        <v>16</v>
      </c>
      <c r="D203" s="8"/>
      <c r="E203" s="8"/>
      <c r="F203" s="8"/>
      <c r="G203" s="9">
        <f aca="true" t="shared" si="31" ref="G203:M203">G204+G205+G206</f>
        <v>633000</v>
      </c>
      <c r="H203" s="9">
        <f t="shared" si="31"/>
        <v>665000</v>
      </c>
      <c r="I203" s="9">
        <f t="shared" si="31"/>
        <v>140900</v>
      </c>
      <c r="J203" s="238">
        <f t="shared" si="31"/>
        <v>575000</v>
      </c>
      <c r="K203" s="9">
        <f t="shared" si="31"/>
        <v>0</v>
      </c>
      <c r="L203" s="9">
        <f t="shared" si="31"/>
        <v>0</v>
      </c>
      <c r="M203" s="83">
        <f t="shared" si="31"/>
        <v>575000</v>
      </c>
    </row>
    <row r="204" spans="1:13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2" ref="G204:M204">G15+G21+G26+G32+G42+G48+G58+G64+G76+G83+G90+G96+G102+G112+G117+G123+G133+G140+G146+G161+G167+G172+G178+G189+G196+G69+G128+G151+G184+G36</f>
        <v>545000</v>
      </c>
      <c r="H204" s="12">
        <f t="shared" si="32"/>
        <v>545000</v>
      </c>
      <c r="I204" s="12">
        <f t="shared" si="32"/>
        <v>72900</v>
      </c>
      <c r="J204" s="232">
        <f t="shared" si="32"/>
        <v>575000</v>
      </c>
      <c r="K204" s="12">
        <f t="shared" si="32"/>
        <v>0</v>
      </c>
      <c r="L204" s="12">
        <f t="shared" si="32"/>
        <v>0</v>
      </c>
      <c r="M204" s="81">
        <f t="shared" si="32"/>
        <v>575000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3" ref="G205:M205">G16+G27+G43+G59+G103+G118+G141+G162+G179</f>
        <v>88000</v>
      </c>
      <c r="H205" s="12">
        <f t="shared" si="33"/>
        <v>120000</v>
      </c>
      <c r="I205" s="12">
        <f t="shared" si="33"/>
        <v>68000</v>
      </c>
      <c r="J205" s="259">
        <f t="shared" si="33"/>
        <v>0</v>
      </c>
      <c r="K205" s="12">
        <f t="shared" si="33"/>
        <v>0</v>
      </c>
      <c r="L205" s="12">
        <f t="shared" si="33"/>
        <v>0</v>
      </c>
      <c r="M205" s="81">
        <f t="shared" si="33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4" ref="G206:M206">G70+G77+G84+G134+G190</f>
        <v>0</v>
      </c>
      <c r="H206" s="15">
        <f t="shared" si="34"/>
        <v>0</v>
      </c>
      <c r="I206" s="15">
        <f t="shared" si="34"/>
        <v>0</v>
      </c>
      <c r="J206" s="260">
        <f t="shared" si="34"/>
        <v>0</v>
      </c>
      <c r="K206" s="15">
        <f t="shared" si="34"/>
        <v>0</v>
      </c>
      <c r="L206" s="15">
        <f t="shared" si="34"/>
        <v>0</v>
      </c>
      <c r="M206" s="84">
        <f t="shared" si="34"/>
        <v>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>G10-G198</f>
        <v>0</v>
      </c>
      <c r="H208" s="12">
        <f aca="true" t="shared" si="35" ref="H208:M208">H10-H198</f>
        <v>0</v>
      </c>
      <c r="I208" s="12">
        <f t="shared" si="35"/>
        <v>0</v>
      </c>
      <c r="J208" s="12">
        <f t="shared" si="35"/>
        <v>0</v>
      </c>
      <c r="K208" s="12">
        <f t="shared" si="35"/>
        <v>0</v>
      </c>
      <c r="L208" s="12">
        <f t="shared" si="35"/>
        <v>0</v>
      </c>
      <c r="M208" s="12">
        <f t="shared" si="35"/>
        <v>0</v>
      </c>
    </row>
    <row r="209" spans="1:13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6" ref="H209:M209">H198-H200</f>
        <v>0</v>
      </c>
      <c r="I209" s="12">
        <f t="shared" si="36"/>
        <v>0</v>
      </c>
      <c r="J209" s="12">
        <f t="shared" si="36"/>
        <v>0</v>
      </c>
      <c r="K209" s="12">
        <f t="shared" si="36"/>
        <v>0</v>
      </c>
      <c r="L209" s="12">
        <f t="shared" si="36"/>
        <v>0</v>
      </c>
      <c r="M209" s="12">
        <f t="shared" si="36"/>
        <v>0</v>
      </c>
    </row>
    <row r="210" spans="7:13" ht="12.75">
      <c r="G210" s="123">
        <f>G200-G10</f>
        <v>0</v>
      </c>
      <c r="H210" s="123">
        <f aca="true" t="shared" si="37" ref="H210:M210">H200-H10</f>
        <v>0</v>
      </c>
      <c r="I210" s="123">
        <f t="shared" si="37"/>
        <v>0</v>
      </c>
      <c r="J210" s="123">
        <f t="shared" si="37"/>
        <v>0</v>
      </c>
      <c r="K210" s="123">
        <f t="shared" si="37"/>
        <v>0</v>
      </c>
      <c r="L210" s="123">
        <f t="shared" si="37"/>
        <v>0</v>
      </c>
      <c r="M210" s="123">
        <f t="shared" si="37"/>
        <v>0</v>
      </c>
    </row>
    <row r="211" spans="7:13" ht="12.75">
      <c r="G211" s="123"/>
      <c r="H211" s="123"/>
      <c r="I211" s="194"/>
      <c r="J211" s="123"/>
      <c r="K211" s="123"/>
      <c r="L211" s="123"/>
      <c r="M211" s="123"/>
    </row>
    <row r="212" ht="12.75">
      <c r="I212" s="194"/>
    </row>
  </sheetData>
  <sheetProtection/>
  <mergeCells count="81"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C122:D122"/>
    <mergeCell ref="C127:D127"/>
    <mergeCell ref="C132:D132"/>
    <mergeCell ref="C139:D139"/>
    <mergeCell ref="C145:D145"/>
    <mergeCell ref="C150:D150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M154:M155"/>
    <mergeCell ref="K155:L156"/>
    <mergeCell ref="C160:D160"/>
    <mergeCell ref="C166:D166"/>
    <mergeCell ref="A200:F200"/>
    <mergeCell ref="H7:H9"/>
    <mergeCell ref="I7:I9"/>
    <mergeCell ref="J7:J9"/>
    <mergeCell ref="C171:D171"/>
    <mergeCell ref="C177:D177"/>
    <mergeCell ref="C183:D183"/>
    <mergeCell ref="C20:D20"/>
    <mergeCell ref="C188:D188"/>
    <mergeCell ref="C195:D195"/>
    <mergeCell ref="M7:M8"/>
    <mergeCell ref="K8:L9"/>
    <mergeCell ref="C14:D14"/>
    <mergeCell ref="A7:A9"/>
    <mergeCell ref="B7:B9"/>
    <mergeCell ref="C7:C9"/>
    <mergeCell ref="D7:D9"/>
    <mergeCell ref="E7:E9"/>
    <mergeCell ref="F7:F9"/>
    <mergeCell ref="A1:M1"/>
    <mergeCell ref="A2:M2"/>
    <mergeCell ref="A3:M3"/>
    <mergeCell ref="A4:M4"/>
    <mergeCell ref="A5:M5"/>
    <mergeCell ref="A6:M6"/>
  </mergeCells>
  <printOptions/>
  <pageMargins left="0.43" right="0.17" top="0.75" bottom="0.75" header="0.3" footer="0.3"/>
  <pageSetup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51E9CC"/>
  </sheetPr>
  <dimension ref="A1:Q217"/>
  <sheetViews>
    <sheetView zoomScalePageLayoutView="0" workbookViewId="0" topLeftCell="A200">
      <selection activeCell="A1" sqref="A1:M205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7.7109375" style="0" customWidth="1"/>
    <col min="7" max="7" width="12.140625" style="0" customWidth="1"/>
    <col min="8" max="8" width="13.421875" style="0" customWidth="1"/>
    <col min="9" max="9" width="13.28125" style="0" customWidth="1"/>
    <col min="10" max="10" width="11.421875" style="0" customWidth="1"/>
    <col min="11" max="11" width="10.57421875" style="0" customWidth="1"/>
    <col min="12" max="12" width="9.7109375" style="0" customWidth="1"/>
    <col min="13" max="13" width="14.28125" style="0" customWidth="1"/>
    <col min="14" max="14" width="11.28125" style="217" bestFit="1" customWidth="1"/>
    <col min="15" max="15" width="14.00390625" style="194" bestFit="1" customWidth="1"/>
    <col min="17" max="17" width="15.00390625" style="0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75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18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19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590525.03</v>
      </c>
      <c r="H10" s="203">
        <f aca="true" t="shared" si="0" ref="H10:M10">H12+H18+H23+H29+H39+H45+H55+H61+H66+H73+H80+H87+H93+H99+H109+H114+H120+H125+H130+H137+H143+H148+H158+H164+H169+H175+H181+H186+H193</f>
        <v>640000</v>
      </c>
      <c r="I10" s="203">
        <f t="shared" si="0"/>
        <v>231000</v>
      </c>
      <c r="J10" s="203">
        <f t="shared" si="0"/>
        <v>563000</v>
      </c>
      <c r="K10" s="203">
        <f>K12+K18+K23+K29+K39+K45+K55+K61+K66+K73+K80+K87+K93+K99+K109+K114+K120+K125+K130+K137+K143+K148+K158+K164+K169+K175+K181+K186+K193</f>
        <v>0</v>
      </c>
      <c r="L10" s="203">
        <f t="shared" si="0"/>
        <v>0</v>
      </c>
      <c r="M10" s="208">
        <f t="shared" si="0"/>
        <v>563000</v>
      </c>
    </row>
    <row r="11" spans="1:13" ht="17.25" hidden="1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  <c r="N18" s="218"/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/>
      <c r="H21" s="96"/>
      <c r="I21" s="96"/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>
      <c r="A39" s="24"/>
      <c r="B39" s="62">
        <v>3</v>
      </c>
      <c r="C39" s="22"/>
      <c r="D39" s="22"/>
      <c r="E39" s="22"/>
      <c r="F39" s="99" t="s">
        <v>64</v>
      </c>
      <c r="G39" s="109">
        <f aca="true" t="shared" si="5" ref="G39:J40">G40</f>
        <v>225525.03</v>
      </c>
      <c r="H39" s="109">
        <f t="shared" si="5"/>
        <v>280000</v>
      </c>
      <c r="I39" s="109">
        <f t="shared" si="5"/>
        <v>126000</v>
      </c>
      <c r="J39" s="240">
        <f t="shared" si="5"/>
        <v>88000</v>
      </c>
      <c r="K39" s="109"/>
      <c r="L39" s="94"/>
      <c r="M39" s="114">
        <f>J39+K39+L39</f>
        <v>88000</v>
      </c>
    </row>
    <row r="40" spans="1:13" ht="15.75">
      <c r="A40" s="24"/>
      <c r="B40" s="62"/>
      <c r="C40" s="22"/>
      <c r="D40" s="22"/>
      <c r="E40" s="11"/>
      <c r="F40" s="8" t="s">
        <v>9</v>
      </c>
      <c r="G40" s="94">
        <f t="shared" si="5"/>
        <v>225525.03</v>
      </c>
      <c r="H40" s="94">
        <f t="shared" si="5"/>
        <v>280000</v>
      </c>
      <c r="I40" s="94">
        <f t="shared" si="5"/>
        <v>126000</v>
      </c>
      <c r="J40" s="241">
        <f t="shared" si="5"/>
        <v>88000</v>
      </c>
      <c r="K40" s="94"/>
      <c r="L40" s="94"/>
      <c r="M40" s="97">
        <f>J40+K40+L40</f>
        <v>88000</v>
      </c>
    </row>
    <row r="41" spans="1:13" ht="15.75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225525.03</v>
      </c>
      <c r="H41" s="95">
        <f>H42+H43</f>
        <v>280000</v>
      </c>
      <c r="I41" s="95">
        <f>I42+I43</f>
        <v>126000</v>
      </c>
      <c r="J41" s="242">
        <f>J42+J43</f>
        <v>88000</v>
      </c>
      <c r="K41" s="95"/>
      <c r="L41" s="95"/>
      <c r="M41" s="98">
        <f>J41+K41+L41</f>
        <v>88000</v>
      </c>
    </row>
    <row r="42" spans="1:13" ht="15.75">
      <c r="A42" s="24"/>
      <c r="B42" s="62"/>
      <c r="C42" s="22"/>
      <c r="D42" s="22"/>
      <c r="E42" s="11">
        <v>12</v>
      </c>
      <c r="F42" s="11"/>
      <c r="G42" s="95">
        <v>153000</v>
      </c>
      <c r="H42" s="95">
        <v>165000</v>
      </c>
      <c r="I42" s="95">
        <v>56000</v>
      </c>
      <c r="J42" s="242">
        <v>88000</v>
      </c>
      <c r="K42" s="95"/>
      <c r="L42" s="100"/>
      <c r="M42" s="98"/>
    </row>
    <row r="43" spans="1:15" ht="15.75">
      <c r="A43" s="64"/>
      <c r="B43" s="65"/>
      <c r="C43" s="23"/>
      <c r="D43" s="23"/>
      <c r="E43" s="14">
        <v>13</v>
      </c>
      <c r="F43" s="14"/>
      <c r="G43" s="96">
        <v>72525.03</v>
      </c>
      <c r="H43" s="96">
        <v>115000</v>
      </c>
      <c r="I43" s="96">
        <v>70000</v>
      </c>
      <c r="J43" s="347">
        <v>0</v>
      </c>
      <c r="K43" s="96"/>
      <c r="L43" s="107"/>
      <c r="M43" s="196"/>
      <c r="O43" s="194">
        <f>72525025.4/1000</f>
        <v>72525.02540000001</v>
      </c>
    </row>
    <row r="44" spans="1:13" ht="15.75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>
      <c r="A45" s="24"/>
      <c r="B45" s="62">
        <v>4</v>
      </c>
      <c r="C45" s="22"/>
      <c r="D45" s="22"/>
      <c r="E45" s="11"/>
      <c r="F45" s="4" t="s">
        <v>65</v>
      </c>
      <c r="G45" s="109">
        <f aca="true" t="shared" si="6" ref="G45:M47">G46</f>
        <v>365000</v>
      </c>
      <c r="H45" s="109">
        <f t="shared" si="6"/>
        <v>360000</v>
      </c>
      <c r="I45" s="109">
        <f t="shared" si="6"/>
        <v>105000</v>
      </c>
      <c r="J45" s="240">
        <f t="shared" si="6"/>
        <v>475000</v>
      </c>
      <c r="K45" s="361">
        <f t="shared" si="6"/>
        <v>0</v>
      </c>
      <c r="L45" s="361">
        <f>L46</f>
        <v>0</v>
      </c>
      <c r="M45" s="367">
        <f>J45+K45+L45</f>
        <v>475000</v>
      </c>
    </row>
    <row r="46" spans="1:13" ht="15.75">
      <c r="A46" s="24"/>
      <c r="B46" s="62"/>
      <c r="C46" s="22"/>
      <c r="D46" s="22"/>
      <c r="E46" s="11"/>
      <c r="F46" s="8" t="s">
        <v>9</v>
      </c>
      <c r="G46" s="94">
        <f t="shared" si="6"/>
        <v>365000</v>
      </c>
      <c r="H46" s="94">
        <f t="shared" si="6"/>
        <v>360000</v>
      </c>
      <c r="I46" s="94">
        <f>I47</f>
        <v>105000</v>
      </c>
      <c r="J46" s="241">
        <f>J47</f>
        <v>475000</v>
      </c>
      <c r="K46" s="363">
        <f>K48+K47</f>
        <v>0</v>
      </c>
      <c r="L46" s="363">
        <f>L48+L47</f>
        <v>0</v>
      </c>
      <c r="M46" s="368">
        <f>J46+K46+L46</f>
        <v>475000</v>
      </c>
    </row>
    <row r="47" spans="1:13" ht="15.75">
      <c r="A47" s="24"/>
      <c r="B47" s="62"/>
      <c r="C47" s="482">
        <v>2504</v>
      </c>
      <c r="D47" s="482"/>
      <c r="E47" s="11"/>
      <c r="F47" s="11" t="s">
        <v>10</v>
      </c>
      <c r="G47" s="95">
        <f>G48</f>
        <v>365000</v>
      </c>
      <c r="H47" s="95">
        <f t="shared" si="6"/>
        <v>360000</v>
      </c>
      <c r="I47" s="95">
        <f t="shared" si="6"/>
        <v>105000</v>
      </c>
      <c r="J47" s="242">
        <f>J48</f>
        <v>475000</v>
      </c>
      <c r="K47" s="365">
        <f>K48</f>
        <v>0</v>
      </c>
      <c r="L47" s="365">
        <f>L48</f>
        <v>0</v>
      </c>
      <c r="M47" s="369">
        <f t="shared" si="6"/>
        <v>475000</v>
      </c>
    </row>
    <row r="48" spans="1:13" ht="16.5" customHeight="1">
      <c r="A48" s="64"/>
      <c r="B48" s="65"/>
      <c r="C48" s="23"/>
      <c r="D48" s="23"/>
      <c r="E48" s="14">
        <v>12</v>
      </c>
      <c r="F48" s="14"/>
      <c r="G48" s="96">
        <v>365000</v>
      </c>
      <c r="H48" s="96">
        <v>360000</v>
      </c>
      <c r="I48" s="96">
        <v>105000</v>
      </c>
      <c r="J48" s="243">
        <v>475000</v>
      </c>
      <c r="K48" s="370"/>
      <c r="L48" s="371"/>
      <c r="M48" s="368">
        <f>J48+K48+L48</f>
        <v>475000</v>
      </c>
    </row>
    <row r="49" spans="1:13" ht="15.75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15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 t="shared" si="7"/>
        <v>0</v>
      </c>
      <c r="K55" s="109"/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/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/>
      <c r="H57" s="95"/>
      <c r="I57" s="95"/>
      <c r="J57" s="242"/>
      <c r="K57" s="95"/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/>
      <c r="H58" s="95"/>
      <c r="I58" s="95"/>
      <c r="J58" s="242"/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/>
      <c r="H59" s="96"/>
      <c r="I59" s="96"/>
      <c r="J59" s="243"/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16</v>
      </c>
      <c r="C61" s="22"/>
      <c r="D61" s="22"/>
      <c r="E61" s="11"/>
      <c r="F61" s="4" t="s">
        <v>24</v>
      </c>
      <c r="G61" s="109">
        <f aca="true" t="shared" si="8" ref="G61:K62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 t="shared" si="8"/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/>
      <c r="H63" s="95"/>
      <c r="I63" s="95"/>
      <c r="J63" s="242"/>
      <c r="K63" s="95"/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/>
      <c r="H64" s="96"/>
      <c r="I64" s="96"/>
      <c r="J64" s="243"/>
      <c r="K64" s="96"/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19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3" ht="15.75" hidden="1">
      <c r="A76" s="24"/>
      <c r="B76" s="62"/>
      <c r="C76" s="26"/>
      <c r="D76" s="26"/>
      <c r="E76" s="11">
        <v>12</v>
      </c>
      <c r="F76" s="11"/>
      <c r="G76" s="95"/>
      <c r="H76" s="95"/>
      <c r="I76" s="95"/>
      <c r="J76" s="242"/>
      <c r="K76" s="95"/>
      <c r="L76" s="95"/>
      <c r="M76" s="98">
        <f t="shared" si="10"/>
        <v>0</v>
      </c>
    </row>
    <row r="77" spans="1:13" ht="15.75" hidden="1">
      <c r="A77" s="24"/>
      <c r="B77" s="62"/>
      <c r="C77" s="26"/>
      <c r="D77" s="26"/>
      <c r="E77" s="11">
        <v>14</v>
      </c>
      <c r="F77" s="11"/>
      <c r="G77" s="95"/>
      <c r="H77" s="95"/>
      <c r="I77" s="95"/>
      <c r="J77" s="242"/>
      <c r="K77" s="95"/>
      <c r="L77" s="95"/>
      <c r="M77" s="98">
        <f t="shared" si="10"/>
        <v>0</v>
      </c>
    </row>
    <row r="78" spans="1:17" ht="15.75" hidden="1">
      <c r="A78" s="64"/>
      <c r="B78" s="65"/>
      <c r="C78" s="23"/>
      <c r="D78" s="23"/>
      <c r="E78" s="14">
        <v>17</v>
      </c>
      <c r="F78" s="14"/>
      <c r="G78" s="96"/>
      <c r="H78" s="96"/>
      <c r="I78" s="96"/>
      <c r="J78" s="243"/>
      <c r="K78" s="107"/>
      <c r="L78" s="107"/>
      <c r="M78" s="196">
        <f t="shared" si="10"/>
        <v>0</v>
      </c>
      <c r="Q78" s="194"/>
    </row>
    <row r="79" spans="1:14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 hidden="1">
      <c r="A80" s="24"/>
      <c r="B80" s="62">
        <v>20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7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  <c r="Q83" s="194">
        <f>480560000/1000</f>
        <v>480560</v>
      </c>
    </row>
    <row r="84" spans="1:13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</row>
    <row r="85" spans="1:14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  <c r="N85" s="219"/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21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7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  <c r="Q90" s="194">
        <f>982050000/1000</f>
        <v>982050</v>
      </c>
    </row>
    <row r="91" spans="1:13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22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7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  <c r="Q96" s="220"/>
    </row>
    <row r="97" spans="1:13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24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25</v>
      </c>
      <c r="C109" s="22"/>
      <c r="D109" s="22"/>
      <c r="E109" s="11"/>
      <c r="F109" s="4" t="s">
        <v>65</v>
      </c>
      <c r="G109" s="109">
        <f aca="true" t="shared" si="16" ref="G109:K110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/>
      <c r="H111" s="95"/>
      <c r="I111" s="95"/>
      <c r="J111" s="242"/>
      <c r="K111" s="95"/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28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29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98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31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3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</row>
    <row r="134" spans="1:13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</row>
    <row r="135" spans="1:13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</row>
    <row r="136" spans="1:13" ht="15.75" hidden="1">
      <c r="A136" s="24"/>
      <c r="B136" s="62"/>
      <c r="C136" s="22"/>
      <c r="D136" s="22"/>
      <c r="E136" s="11"/>
      <c r="F136" s="18" t="s">
        <v>50</v>
      </c>
      <c r="G136" s="95"/>
      <c r="H136" s="95"/>
      <c r="I136" s="95"/>
      <c r="J136" s="242"/>
      <c r="K136" s="104"/>
      <c r="L136" s="104"/>
      <c r="M136" s="198"/>
    </row>
    <row r="137" spans="1:13" ht="78.75" hidden="1">
      <c r="A137" s="24"/>
      <c r="B137" s="62">
        <v>34</v>
      </c>
      <c r="C137" s="22"/>
      <c r="D137" s="22"/>
      <c r="E137" s="22"/>
      <c r="F137" s="99" t="s">
        <v>64</v>
      </c>
      <c r="G137" s="109">
        <f aca="true" t="shared" si="21" ref="G137:J138">G138</f>
        <v>0</v>
      </c>
      <c r="H137" s="109">
        <f t="shared" si="21"/>
        <v>0</v>
      </c>
      <c r="I137" s="109">
        <f t="shared" si="21"/>
        <v>0</v>
      </c>
      <c r="J137" s="240">
        <f t="shared" si="21"/>
        <v>0</v>
      </c>
      <c r="K137" s="109"/>
      <c r="L137" s="94"/>
      <c r="M137" s="114">
        <f>J137+K137+L137</f>
        <v>0</v>
      </c>
    </row>
    <row r="138" spans="1:13" ht="15.75" hidden="1">
      <c r="A138" s="24"/>
      <c r="B138" s="62"/>
      <c r="C138" s="22"/>
      <c r="D138" s="22"/>
      <c r="E138" s="11"/>
      <c r="F138" s="8" t="s">
        <v>9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241">
        <f t="shared" si="21"/>
        <v>0</v>
      </c>
      <c r="K138" s="94"/>
      <c r="L138" s="94"/>
      <c r="M138" s="97">
        <f>J138+K138+L138</f>
        <v>0</v>
      </c>
    </row>
    <row r="139" spans="1:13" ht="15.75" hidden="1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0</v>
      </c>
      <c r="H139" s="95">
        <f>H140+H141</f>
        <v>0</v>
      </c>
      <c r="I139" s="95">
        <f>I140+I141</f>
        <v>0</v>
      </c>
      <c r="J139" s="242">
        <f>J140+J141</f>
        <v>0</v>
      </c>
      <c r="K139" s="95"/>
      <c r="L139" s="95"/>
      <c r="M139" s="98">
        <f>J139+K139+L139</f>
        <v>0</v>
      </c>
    </row>
    <row r="140" spans="1:13" ht="15.75" hidden="1">
      <c r="A140" s="24"/>
      <c r="B140" s="62"/>
      <c r="C140" s="22"/>
      <c r="D140" s="22"/>
      <c r="E140" s="11">
        <v>12</v>
      </c>
      <c r="F140" s="11"/>
      <c r="G140" s="95"/>
      <c r="H140" s="95"/>
      <c r="I140" s="95"/>
      <c r="J140" s="242"/>
      <c r="K140" s="95"/>
      <c r="L140" s="100"/>
      <c r="M140" s="98">
        <f>J140+K140+L140</f>
        <v>0</v>
      </c>
    </row>
    <row r="141" spans="1:13" ht="15.75" hidden="1">
      <c r="A141" s="64"/>
      <c r="B141" s="65"/>
      <c r="C141" s="23"/>
      <c r="D141" s="23"/>
      <c r="E141" s="14">
        <v>13</v>
      </c>
      <c r="F141" s="14"/>
      <c r="G141" s="96"/>
      <c r="H141" s="96"/>
      <c r="I141" s="96"/>
      <c r="J141" s="243"/>
      <c r="K141" s="96"/>
      <c r="L141" s="107"/>
      <c r="M141" s="196">
        <f>J141+K141+L141</f>
        <v>0</v>
      </c>
    </row>
    <row r="142" spans="1:13" ht="15.75" hidden="1">
      <c r="A142" s="24"/>
      <c r="B142" s="62"/>
      <c r="C142" s="22"/>
      <c r="D142" s="22"/>
      <c r="E142" s="11"/>
      <c r="F142" s="18" t="s">
        <v>50</v>
      </c>
      <c r="G142" s="95"/>
      <c r="H142" s="95"/>
      <c r="I142" s="95"/>
      <c r="J142" s="242"/>
      <c r="K142" s="95"/>
      <c r="L142" s="104"/>
      <c r="M142" s="98"/>
    </row>
    <row r="143" spans="1:13" ht="36.75" customHeight="1" hidden="1">
      <c r="A143" s="24"/>
      <c r="B143" s="62">
        <v>35</v>
      </c>
      <c r="C143" s="22"/>
      <c r="D143" s="22"/>
      <c r="E143" s="11"/>
      <c r="F143" s="4" t="s">
        <v>65</v>
      </c>
      <c r="G143" s="109">
        <f aca="true" t="shared" si="22" ref="G143:K145">G144</f>
        <v>0</v>
      </c>
      <c r="H143" s="109">
        <f t="shared" si="22"/>
        <v>0</v>
      </c>
      <c r="I143" s="109">
        <f t="shared" si="22"/>
        <v>0</v>
      </c>
      <c r="J143" s="240">
        <f t="shared" si="22"/>
        <v>0</v>
      </c>
      <c r="K143" s="109">
        <f t="shared" si="22"/>
        <v>0</v>
      </c>
      <c r="L143" s="95"/>
      <c r="M143" s="114">
        <f>J143+K143+L143</f>
        <v>0</v>
      </c>
    </row>
    <row r="144" spans="1:13" ht="15.75" hidden="1">
      <c r="A144" s="24"/>
      <c r="B144" s="62"/>
      <c r="C144" s="22"/>
      <c r="D144" s="22"/>
      <c r="E144" s="11"/>
      <c r="F144" s="8" t="s">
        <v>9</v>
      </c>
      <c r="G144" s="94">
        <f t="shared" si="22"/>
        <v>0</v>
      </c>
      <c r="H144" s="94">
        <f t="shared" si="22"/>
        <v>0</v>
      </c>
      <c r="I144" s="94">
        <f t="shared" si="22"/>
        <v>0</v>
      </c>
      <c r="J144" s="241">
        <f t="shared" si="22"/>
        <v>0</v>
      </c>
      <c r="K144" s="94">
        <f t="shared" si="22"/>
        <v>0</v>
      </c>
      <c r="L144" s="94"/>
      <c r="M144" s="97">
        <f>J144+K144+L144</f>
        <v>0</v>
      </c>
    </row>
    <row r="145" spans="1:13" ht="15.75" hidden="1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0</v>
      </c>
      <c r="H145" s="95">
        <f t="shared" si="22"/>
        <v>0</v>
      </c>
      <c r="I145" s="95">
        <f>I146</f>
        <v>0</v>
      </c>
      <c r="J145" s="242">
        <f t="shared" si="22"/>
        <v>0</v>
      </c>
      <c r="K145" s="95">
        <f t="shared" si="22"/>
        <v>0</v>
      </c>
      <c r="L145" s="95"/>
      <c r="M145" s="98">
        <f>J145+K145+L145</f>
        <v>0</v>
      </c>
    </row>
    <row r="146" spans="1:13" ht="17.25" customHeight="1" hidden="1">
      <c r="A146" s="64"/>
      <c r="B146" s="65"/>
      <c r="C146" s="23"/>
      <c r="D146" s="23"/>
      <c r="E146" s="14">
        <v>12</v>
      </c>
      <c r="F146" s="14"/>
      <c r="G146" s="96"/>
      <c r="H146" s="96"/>
      <c r="I146" s="96"/>
      <c r="J146" s="243"/>
      <c r="K146" s="96"/>
      <c r="L146" s="107"/>
      <c r="M146" s="98">
        <f>J146+K146+L146</f>
        <v>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5.75">
      <c r="A197" s="247"/>
      <c r="B197" s="248"/>
      <c r="C197" s="249"/>
      <c r="D197" s="249"/>
      <c r="E197" s="249"/>
      <c r="F197" s="250" t="s">
        <v>12</v>
      </c>
      <c r="G197" s="251">
        <f>G40+G46</f>
        <v>590525.03</v>
      </c>
      <c r="H197" s="251">
        <f aca="true" t="shared" si="27" ref="H197:M197">H19+H13+H24+H30+H40+H46+H56+H62+H67+H74+H81+H88+H94+H100+H110+H115+H121+H126+H131+H138+H144+H149+H159+H165+H170+H176+H182+H187+H194+H35</f>
        <v>640000</v>
      </c>
      <c r="I197" s="251">
        <f t="shared" si="27"/>
        <v>231000</v>
      </c>
      <c r="J197" s="251">
        <f t="shared" si="27"/>
        <v>563000</v>
      </c>
      <c r="K197" s="251">
        <f t="shared" si="27"/>
        <v>0</v>
      </c>
      <c r="L197" s="251">
        <f t="shared" si="27"/>
        <v>0</v>
      </c>
      <c r="M197" s="252">
        <f t="shared" si="27"/>
        <v>563000</v>
      </c>
    </row>
    <row r="198" spans="1:13" ht="9.75" customHeight="1">
      <c r="A198" s="25"/>
      <c r="B198" s="62"/>
      <c r="C198" s="22"/>
      <c r="D198" s="22"/>
      <c r="E198" s="22"/>
      <c r="F198" s="22"/>
      <c r="G198" s="21"/>
      <c r="H198" s="21"/>
      <c r="I198" s="21"/>
      <c r="J198" s="21"/>
      <c r="K198" s="27"/>
      <c r="L198" s="27"/>
      <c r="M198" s="101"/>
    </row>
    <row r="199" spans="1:13" ht="15.75">
      <c r="A199" s="540" t="s">
        <v>13</v>
      </c>
      <c r="B199" s="541"/>
      <c r="C199" s="541"/>
      <c r="D199" s="541"/>
      <c r="E199" s="541"/>
      <c r="F199" s="541"/>
      <c r="G199" s="245">
        <f>G12+G18+G23+G29+G39+G45+G55+G61+G66+G73+G80+G87+G93+G99+G109+G114+G120+G125+G130+G137+G143+G148+G158+G164+G169+G175+G181+G186+G193+G34</f>
        <v>590525.03</v>
      </c>
      <c r="H199" s="245">
        <f aca="true" t="shared" si="28" ref="H199:M199">H12+H18+H23+H29+H39+H45+H55+H61+H66+H73+H80+H87+H93+H99+H109+H114+H120+H125+H130+H137+H143+H148+H158+H164+H169+H175+H181+H186+H193</f>
        <v>640000</v>
      </c>
      <c r="I199" s="245">
        <f t="shared" si="28"/>
        <v>231000</v>
      </c>
      <c r="J199" s="245">
        <f t="shared" si="28"/>
        <v>563000</v>
      </c>
      <c r="K199" s="245">
        <f t="shared" si="28"/>
        <v>0</v>
      </c>
      <c r="L199" s="245">
        <f t="shared" si="28"/>
        <v>0</v>
      </c>
      <c r="M199" s="246">
        <f t="shared" si="28"/>
        <v>563000</v>
      </c>
    </row>
    <row r="200" spans="1:13" ht="15.75">
      <c r="A200" s="28"/>
      <c r="B200" s="17"/>
      <c r="C200" s="18" t="s">
        <v>14</v>
      </c>
      <c r="D200" s="18"/>
      <c r="E200" s="18"/>
      <c r="F200" s="18"/>
      <c r="G200" s="19">
        <f>G201</f>
        <v>0</v>
      </c>
      <c r="H200" s="19">
        <f aca="true" t="shared" si="29" ref="H200:M200">H201</f>
        <v>0</v>
      </c>
      <c r="I200" s="19">
        <f t="shared" si="29"/>
        <v>0</v>
      </c>
      <c r="J200" s="237">
        <f t="shared" si="29"/>
        <v>0</v>
      </c>
      <c r="K200" s="19">
        <f t="shared" si="29"/>
        <v>0</v>
      </c>
      <c r="L200" s="19">
        <f t="shared" si="29"/>
        <v>0</v>
      </c>
      <c r="M200" s="90">
        <f t="shared" si="29"/>
        <v>0</v>
      </c>
    </row>
    <row r="201" spans="1:13" ht="15.75">
      <c r="A201" s="25"/>
      <c r="B201" s="10">
        <v>17</v>
      </c>
      <c r="C201" s="11"/>
      <c r="D201" s="11" t="s">
        <v>15</v>
      </c>
      <c r="E201" s="11"/>
      <c r="F201" s="11"/>
      <c r="G201" s="12">
        <v>0</v>
      </c>
      <c r="H201" s="12">
        <v>0</v>
      </c>
      <c r="I201" s="12">
        <v>0</v>
      </c>
      <c r="J201" s="259">
        <v>0</v>
      </c>
      <c r="K201" s="12">
        <v>0</v>
      </c>
      <c r="L201" s="12">
        <v>0</v>
      </c>
      <c r="M201" s="81">
        <v>0</v>
      </c>
    </row>
    <row r="202" spans="1:13" ht="15.75">
      <c r="A202" s="24"/>
      <c r="B202" s="7"/>
      <c r="C202" s="8" t="s">
        <v>16</v>
      </c>
      <c r="D202" s="8"/>
      <c r="E202" s="8"/>
      <c r="F202" s="8"/>
      <c r="G202" s="9">
        <f aca="true" t="shared" si="30" ref="G202:M202">G203+G204+G205</f>
        <v>590525.03</v>
      </c>
      <c r="H202" s="9">
        <f t="shared" si="30"/>
        <v>640000</v>
      </c>
      <c r="I202" s="9">
        <f t="shared" si="30"/>
        <v>231000</v>
      </c>
      <c r="J202" s="238">
        <f t="shared" si="30"/>
        <v>563000</v>
      </c>
      <c r="K202" s="9">
        <f t="shared" si="30"/>
        <v>0</v>
      </c>
      <c r="L202" s="9">
        <f t="shared" si="30"/>
        <v>0</v>
      </c>
      <c r="M202" s="83">
        <f t="shared" si="30"/>
        <v>475000</v>
      </c>
    </row>
    <row r="203" spans="1:13" ht="15.75">
      <c r="A203" s="25"/>
      <c r="B203" s="10">
        <v>12</v>
      </c>
      <c r="C203" s="11"/>
      <c r="D203" s="11" t="s">
        <v>17</v>
      </c>
      <c r="E203" s="11"/>
      <c r="F203" s="11"/>
      <c r="G203" s="12">
        <f aca="true" t="shared" si="31" ref="G203:M203">G15+G21+G26+G32+G42+G48+G58+G64+G76+G83+G90+G96+G102+G112+G117+G123+G133+G140+G146+G161+G167+G172+G178+G189+G196+G69+G128+G151+G184+G36</f>
        <v>518000</v>
      </c>
      <c r="H203" s="12">
        <f t="shared" si="31"/>
        <v>525000</v>
      </c>
      <c r="I203" s="12">
        <f t="shared" si="31"/>
        <v>161000</v>
      </c>
      <c r="J203" s="232">
        <f t="shared" si="31"/>
        <v>563000</v>
      </c>
      <c r="K203" s="12">
        <f t="shared" si="31"/>
        <v>0</v>
      </c>
      <c r="L203" s="12">
        <f t="shared" si="31"/>
        <v>0</v>
      </c>
      <c r="M203" s="81">
        <f t="shared" si="31"/>
        <v>475000</v>
      </c>
    </row>
    <row r="204" spans="1:13" ht="15.75">
      <c r="A204" s="25"/>
      <c r="B204" s="10">
        <v>13</v>
      </c>
      <c r="C204" s="11"/>
      <c r="D204" s="11" t="s">
        <v>18</v>
      </c>
      <c r="E204" s="11"/>
      <c r="F204" s="11"/>
      <c r="G204" s="12">
        <f aca="true" t="shared" si="32" ref="G204:M204">G16+G27+G43+G59+G103+G118+G141+G162+G179</f>
        <v>72525.03</v>
      </c>
      <c r="H204" s="12">
        <f t="shared" si="32"/>
        <v>115000</v>
      </c>
      <c r="I204" s="12">
        <f t="shared" si="32"/>
        <v>70000</v>
      </c>
      <c r="J204" s="259">
        <f t="shared" si="32"/>
        <v>0</v>
      </c>
      <c r="K204" s="12">
        <f t="shared" si="32"/>
        <v>0</v>
      </c>
      <c r="L204" s="12">
        <f t="shared" si="32"/>
        <v>0</v>
      </c>
      <c r="M204" s="81">
        <f t="shared" si="32"/>
        <v>0</v>
      </c>
    </row>
    <row r="205" spans="1:13" ht="15.75">
      <c r="A205" s="29"/>
      <c r="B205" s="13">
        <v>14</v>
      </c>
      <c r="C205" s="14"/>
      <c r="D205" s="14" t="s">
        <v>19</v>
      </c>
      <c r="E205" s="14"/>
      <c r="F205" s="14"/>
      <c r="G205" s="15">
        <f aca="true" t="shared" si="33" ref="G205:M205">G70+G77+G84+G134+G190</f>
        <v>0</v>
      </c>
      <c r="H205" s="15">
        <f t="shared" si="33"/>
        <v>0</v>
      </c>
      <c r="I205" s="15">
        <f t="shared" si="33"/>
        <v>0</v>
      </c>
      <c r="J205" s="260">
        <f t="shared" si="33"/>
        <v>0</v>
      </c>
      <c r="K205" s="15">
        <f t="shared" si="33"/>
        <v>0</v>
      </c>
      <c r="L205" s="15">
        <f t="shared" si="33"/>
        <v>0</v>
      </c>
      <c r="M205" s="84">
        <f t="shared" si="33"/>
        <v>0</v>
      </c>
    </row>
    <row r="206" spans="1:10" ht="15.75">
      <c r="A206" s="22"/>
      <c r="B206" s="10"/>
      <c r="C206" s="11"/>
      <c r="D206" s="11"/>
      <c r="E206" s="11"/>
      <c r="F206" s="11"/>
      <c r="G206" s="12"/>
      <c r="H206" s="12"/>
      <c r="I206" s="12"/>
      <c r="J206" s="21"/>
    </row>
    <row r="207" spans="1:13" ht="15.75">
      <c r="A207" s="22"/>
      <c r="B207" s="10"/>
      <c r="C207" s="11"/>
      <c r="D207" s="11"/>
      <c r="E207" s="11"/>
      <c r="F207" s="11"/>
      <c r="G207" s="12">
        <f aca="true" t="shared" si="34" ref="G207:M207">G10-G197</f>
        <v>0</v>
      </c>
      <c r="H207" s="12">
        <f t="shared" si="34"/>
        <v>0</v>
      </c>
      <c r="I207" s="12">
        <f t="shared" si="34"/>
        <v>0</v>
      </c>
      <c r="J207" s="12">
        <f t="shared" si="34"/>
        <v>0</v>
      </c>
      <c r="K207" s="12">
        <f t="shared" si="34"/>
        <v>0</v>
      </c>
      <c r="L207" s="12">
        <f t="shared" si="34"/>
        <v>0</v>
      </c>
      <c r="M207" s="12">
        <f t="shared" si="34"/>
        <v>0</v>
      </c>
    </row>
    <row r="208" spans="1:15" ht="15.75">
      <c r="A208" s="22"/>
      <c r="B208" s="10"/>
      <c r="C208" s="11"/>
      <c r="D208" s="11"/>
      <c r="E208" s="11"/>
      <c r="F208" s="11"/>
      <c r="G208" s="12">
        <f>G197-G199</f>
        <v>0</v>
      </c>
      <c r="H208" s="12">
        <f aca="true" t="shared" si="35" ref="H208:M208">H197-H199</f>
        <v>0</v>
      </c>
      <c r="I208" s="12">
        <f t="shared" si="35"/>
        <v>0</v>
      </c>
      <c r="J208" s="12">
        <f t="shared" si="35"/>
        <v>0</v>
      </c>
      <c r="K208" s="12">
        <f t="shared" si="35"/>
        <v>0</v>
      </c>
      <c r="L208" s="12">
        <f t="shared" si="35"/>
        <v>0</v>
      </c>
      <c r="M208" s="12">
        <f t="shared" si="35"/>
        <v>0</v>
      </c>
      <c r="N208"/>
      <c r="O208"/>
    </row>
    <row r="209" spans="7:15" ht="12.75">
      <c r="G209" s="123">
        <f aca="true" t="shared" si="36" ref="G209:M209">G199-G10</f>
        <v>0</v>
      </c>
      <c r="H209" s="123">
        <f t="shared" si="36"/>
        <v>0</v>
      </c>
      <c r="I209" s="123">
        <f t="shared" si="36"/>
        <v>0</v>
      </c>
      <c r="J209" s="123">
        <f t="shared" si="36"/>
        <v>0</v>
      </c>
      <c r="K209" s="123">
        <f t="shared" si="36"/>
        <v>0</v>
      </c>
      <c r="L209" s="123">
        <f t="shared" si="36"/>
        <v>0</v>
      </c>
      <c r="M209" s="123">
        <f t="shared" si="36"/>
        <v>0</v>
      </c>
      <c r="N209"/>
      <c r="O209"/>
    </row>
    <row r="210" spans="7:15" ht="12.75">
      <c r="G210" s="123"/>
      <c r="H210" s="123"/>
      <c r="I210" s="194"/>
      <c r="J210" s="123"/>
      <c r="K210" s="123"/>
      <c r="L210" s="123"/>
      <c r="M210" s="123"/>
      <c r="N210"/>
      <c r="O210"/>
    </row>
    <row r="211" spans="6:15" ht="15.75">
      <c r="F211" s="539"/>
      <c r="G211" s="539"/>
      <c r="H211" s="339"/>
      <c r="I211" s="340"/>
      <c r="J211" s="314"/>
      <c r="K211" s="314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6:15" ht="15.75">
      <c r="F213" s="314"/>
      <c r="G213" s="314"/>
      <c r="H213" s="341"/>
      <c r="I213" s="340"/>
      <c r="J213" s="342"/>
      <c r="K213" s="342"/>
      <c r="N213"/>
      <c r="O213"/>
    </row>
    <row r="214" spans="6:15" ht="15.75">
      <c r="F214" s="314"/>
      <c r="G214" s="314"/>
      <c r="H214" s="343"/>
      <c r="I214" s="104"/>
      <c r="J214" s="342"/>
      <c r="K214" s="314"/>
      <c r="N214"/>
      <c r="O214"/>
    </row>
    <row r="215" spans="6:15" ht="15.75">
      <c r="F215" s="314"/>
      <c r="G215" s="314"/>
      <c r="H215" s="314"/>
      <c r="I215" s="104"/>
      <c r="J215" s="314"/>
      <c r="K215" s="314"/>
      <c r="N215"/>
      <c r="O215"/>
    </row>
    <row r="216" spans="6:15" ht="15.75">
      <c r="F216" s="314"/>
      <c r="G216" s="314"/>
      <c r="H216" s="314"/>
      <c r="I216" s="292"/>
      <c r="J216" s="314"/>
      <c r="K216" s="314"/>
      <c r="N216"/>
      <c r="O216"/>
    </row>
    <row r="217" spans="9:15" ht="12.75">
      <c r="I217" s="194"/>
      <c r="N217"/>
      <c r="O217"/>
    </row>
  </sheetData>
  <sheetProtection/>
  <mergeCells count="83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M7:M8"/>
    <mergeCell ref="K8:L9"/>
    <mergeCell ref="C14:D14"/>
    <mergeCell ref="C20:D20"/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M154:M155"/>
    <mergeCell ref="C122:D122"/>
    <mergeCell ref="C127:D127"/>
    <mergeCell ref="C132:D132"/>
    <mergeCell ref="C139:D139"/>
    <mergeCell ref="C145:D145"/>
    <mergeCell ref="C150:D150"/>
    <mergeCell ref="C183:D183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C188:D188"/>
    <mergeCell ref="C195:D195"/>
    <mergeCell ref="A199:F199"/>
    <mergeCell ref="F211:G211"/>
    <mergeCell ref="F212:G212"/>
    <mergeCell ref="K155:L156"/>
    <mergeCell ref="C160:D160"/>
    <mergeCell ref="C166:D166"/>
    <mergeCell ref="C171:D171"/>
    <mergeCell ref="C177:D177"/>
  </mergeCells>
  <printOptions/>
  <pageMargins left="0.41" right="0.17" top="0.75" bottom="0.75" header="0.3" footer="0.3"/>
  <pageSetup horizontalDpi="600" verticalDpi="600" orientation="portrait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FF00"/>
  </sheetPr>
  <dimension ref="A1:Q218"/>
  <sheetViews>
    <sheetView zoomScalePageLayoutView="0" workbookViewId="0" topLeftCell="B93">
      <selection activeCell="J206" sqref="J206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7" width="13.140625" style="0" customWidth="1"/>
    <col min="8" max="8" width="13.421875" style="0" customWidth="1"/>
    <col min="9" max="9" width="14.28125" style="0" customWidth="1"/>
    <col min="10" max="10" width="13.57421875" style="0" customWidth="1"/>
    <col min="11" max="11" width="9.57421875" style="0" customWidth="1"/>
    <col min="12" max="12" width="9.7109375" style="0" customWidth="1"/>
    <col min="13" max="13" width="14.28125" style="0" customWidth="1"/>
    <col min="14" max="14" width="14.8515625" style="217" customWidth="1"/>
    <col min="15" max="15" width="13.421875" style="194" customWidth="1"/>
    <col min="16" max="16" width="14.00390625" style="194" customWidth="1"/>
    <col min="17" max="17" width="15.00390625" style="194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77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18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19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3718767.8600000003</v>
      </c>
      <c r="H10" s="203">
        <f aca="true" t="shared" si="0" ref="H10:M10">H12+H18+H23+H29+H39+H45+H55+H61+H66+H73+H80+H87+H93+H99+H109+H114+H120+H125+H130+H137+H143+H148+H158+H164+H169+H175+H181+H186+H193</f>
        <v>3409730</v>
      </c>
      <c r="I10" s="203">
        <f t="shared" si="0"/>
        <v>1084304.25</v>
      </c>
      <c r="J10" s="203">
        <f t="shared" si="0"/>
        <v>1019750</v>
      </c>
      <c r="K10" s="203">
        <f t="shared" si="0"/>
        <v>0</v>
      </c>
      <c r="L10" s="203">
        <f t="shared" si="0"/>
        <v>0</v>
      </c>
      <c r="M10" s="208">
        <f t="shared" si="0"/>
        <v>1019750</v>
      </c>
    </row>
    <row r="11" spans="1:13" ht="17.25" hidden="1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  <c r="N18" s="218"/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/>
      <c r="H21" s="96"/>
      <c r="I21" s="96"/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3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/>
      <c r="H42" s="95"/>
      <c r="I42" s="95"/>
      <c r="J42" s="242"/>
      <c r="K42" s="95"/>
      <c r="L42" s="100"/>
      <c r="M42" s="98"/>
    </row>
    <row r="43" spans="1:15" ht="15.75" hidden="1">
      <c r="A43" s="64"/>
      <c r="B43" s="65"/>
      <c r="C43" s="23"/>
      <c r="D43" s="23"/>
      <c r="E43" s="14">
        <v>13</v>
      </c>
      <c r="F43" s="14"/>
      <c r="G43" s="96"/>
      <c r="H43" s="96"/>
      <c r="I43" s="96"/>
      <c r="J43" s="243"/>
      <c r="K43" s="96"/>
      <c r="L43" s="107"/>
      <c r="M43" s="196"/>
      <c r="O43" s="194">
        <f>72525025.4/1000</f>
        <v>72525.02540000001</v>
      </c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4</v>
      </c>
      <c r="C45" s="22"/>
      <c r="D45" s="22"/>
      <c r="E45" s="11"/>
      <c r="F45" s="4" t="s">
        <v>65</v>
      </c>
      <c r="G45" s="109">
        <f aca="true" t="shared" si="6" ref="G45:K46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/>
      <c r="H47" s="95"/>
      <c r="I47" s="95"/>
      <c r="J47" s="242"/>
      <c r="K47" s="95"/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>
        <v>0</v>
      </c>
      <c r="H48" s="96">
        <v>0</v>
      </c>
      <c r="I48" s="96">
        <v>0</v>
      </c>
      <c r="J48" s="243"/>
      <c r="K48" s="96"/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>
      <c r="A55" s="24"/>
      <c r="B55" s="62">
        <v>3</v>
      </c>
      <c r="C55" s="22"/>
      <c r="D55" s="22"/>
      <c r="E55" s="22"/>
      <c r="F55" s="99" t="s">
        <v>64</v>
      </c>
      <c r="G55" s="109">
        <f aca="true" t="shared" si="7" ref="G55:J56">G56</f>
        <v>289000</v>
      </c>
      <c r="H55" s="109">
        <f t="shared" si="7"/>
        <v>315000</v>
      </c>
      <c r="I55" s="109">
        <f t="shared" si="7"/>
        <v>145000</v>
      </c>
      <c r="J55" s="240">
        <f>J56</f>
        <v>100000</v>
      </c>
      <c r="K55" s="361">
        <f>K56</f>
        <v>0</v>
      </c>
      <c r="L55" s="363"/>
      <c r="M55" s="114">
        <f>J55+K55+L55</f>
        <v>100000</v>
      </c>
    </row>
    <row r="56" spans="1:13" ht="15.75">
      <c r="A56" s="24"/>
      <c r="B56" s="62"/>
      <c r="C56" s="22"/>
      <c r="D56" s="22"/>
      <c r="E56" s="11"/>
      <c r="F56" s="8" t="s">
        <v>9</v>
      </c>
      <c r="G56" s="94">
        <f t="shared" si="7"/>
        <v>289000</v>
      </c>
      <c r="H56" s="94">
        <f t="shared" si="7"/>
        <v>315000</v>
      </c>
      <c r="I56" s="94">
        <f t="shared" si="7"/>
        <v>145000</v>
      </c>
      <c r="J56" s="241">
        <f t="shared" si="7"/>
        <v>100000</v>
      </c>
      <c r="K56" s="363">
        <f>K57</f>
        <v>0</v>
      </c>
      <c r="L56" s="363"/>
      <c r="M56" s="97">
        <f>J56+K56+L56</f>
        <v>100000</v>
      </c>
    </row>
    <row r="57" spans="1:13" ht="15.75">
      <c r="A57" s="24"/>
      <c r="B57" s="62"/>
      <c r="C57" s="482">
        <v>2504</v>
      </c>
      <c r="D57" s="482"/>
      <c r="E57" s="11"/>
      <c r="F57" s="11" t="s">
        <v>10</v>
      </c>
      <c r="G57" s="95">
        <f>G58+G59</f>
        <v>289000</v>
      </c>
      <c r="H57" s="95">
        <f>H58+H59</f>
        <v>315000</v>
      </c>
      <c r="I57" s="95">
        <f>I58+I59</f>
        <v>145000</v>
      </c>
      <c r="J57" s="242">
        <f>J58+J59</f>
        <v>100000</v>
      </c>
      <c r="K57" s="365">
        <f>K58+K59</f>
        <v>0</v>
      </c>
      <c r="L57" s="365"/>
      <c r="M57" s="98">
        <f>J57+K57+L57</f>
        <v>100000</v>
      </c>
    </row>
    <row r="58" spans="1:13" ht="15.75">
      <c r="A58" s="24"/>
      <c r="B58" s="62"/>
      <c r="C58" s="22"/>
      <c r="D58" s="22"/>
      <c r="E58" s="11">
        <v>12</v>
      </c>
      <c r="F58" s="11"/>
      <c r="G58" s="95">
        <v>195000</v>
      </c>
      <c r="H58" s="95">
        <v>190000</v>
      </c>
      <c r="I58" s="95">
        <v>70000</v>
      </c>
      <c r="J58" s="242">
        <v>100000</v>
      </c>
      <c r="K58" s="365"/>
      <c r="L58" s="365"/>
      <c r="M58" s="98">
        <f>J58+K58+L58</f>
        <v>100000</v>
      </c>
    </row>
    <row r="59" spans="1:13" ht="15.75">
      <c r="A59" s="64"/>
      <c r="B59" s="65"/>
      <c r="C59" s="23"/>
      <c r="D59" s="23"/>
      <c r="E59" s="14">
        <v>13</v>
      </c>
      <c r="F59" s="14"/>
      <c r="G59" s="96">
        <v>94000</v>
      </c>
      <c r="H59" s="96">
        <v>125000</v>
      </c>
      <c r="I59" s="96">
        <v>75000</v>
      </c>
      <c r="J59" s="347">
        <v>0</v>
      </c>
      <c r="K59" s="370"/>
      <c r="L59" s="371"/>
      <c r="M59" s="196">
        <f>J59+K59+L59</f>
        <v>0</v>
      </c>
    </row>
    <row r="60" spans="1:13" ht="15.75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365"/>
      <c r="L60" s="340"/>
      <c r="M60" s="98"/>
    </row>
    <row r="61" spans="1:13" ht="32.25">
      <c r="A61" s="24"/>
      <c r="B61" s="62">
        <v>4</v>
      </c>
      <c r="C61" s="22"/>
      <c r="D61" s="22"/>
      <c r="E61" s="11"/>
      <c r="F61" s="4" t="s">
        <v>24</v>
      </c>
      <c r="G61" s="109">
        <f aca="true" t="shared" si="8" ref="G61:K63">G62</f>
        <v>365000</v>
      </c>
      <c r="H61" s="109">
        <f t="shared" si="8"/>
        <v>360000</v>
      </c>
      <c r="I61" s="109">
        <f t="shared" si="8"/>
        <v>100000</v>
      </c>
      <c r="J61" s="240">
        <f t="shared" si="8"/>
        <v>475000</v>
      </c>
      <c r="K61" s="361">
        <f t="shared" si="8"/>
        <v>0</v>
      </c>
      <c r="L61" s="365"/>
      <c r="M61" s="114">
        <f>J61+K61+L61</f>
        <v>475000</v>
      </c>
    </row>
    <row r="62" spans="1:13" ht="15.75">
      <c r="A62" s="24"/>
      <c r="B62" s="62"/>
      <c r="C62" s="22"/>
      <c r="D62" s="22"/>
      <c r="E62" s="11"/>
      <c r="F62" s="8" t="s">
        <v>9</v>
      </c>
      <c r="G62" s="94">
        <f>G63</f>
        <v>365000</v>
      </c>
      <c r="H62" s="94">
        <f t="shared" si="8"/>
        <v>360000</v>
      </c>
      <c r="I62" s="94">
        <f t="shared" si="8"/>
        <v>100000</v>
      </c>
      <c r="J62" s="241">
        <f t="shared" si="8"/>
        <v>475000</v>
      </c>
      <c r="K62" s="363">
        <f t="shared" si="8"/>
        <v>0</v>
      </c>
      <c r="L62" s="365"/>
      <c r="M62" s="97">
        <f>J62+K62+L62</f>
        <v>475000</v>
      </c>
    </row>
    <row r="63" spans="1:13" ht="15.75">
      <c r="A63" s="24"/>
      <c r="B63" s="62"/>
      <c r="C63" s="482">
        <v>2504</v>
      </c>
      <c r="D63" s="482"/>
      <c r="E63" s="11"/>
      <c r="F63" s="11" t="s">
        <v>10</v>
      </c>
      <c r="G63" s="95">
        <f>G64</f>
        <v>365000</v>
      </c>
      <c r="H63" s="95">
        <f t="shared" si="8"/>
        <v>360000</v>
      </c>
      <c r="I63" s="95">
        <f t="shared" si="8"/>
        <v>100000</v>
      </c>
      <c r="J63" s="242">
        <f>J64</f>
        <v>475000</v>
      </c>
      <c r="K63" s="365">
        <f t="shared" si="8"/>
        <v>0</v>
      </c>
      <c r="L63" s="365"/>
      <c r="M63" s="98">
        <f>J63+K63+L63</f>
        <v>475000</v>
      </c>
    </row>
    <row r="64" spans="1:13" ht="15.75">
      <c r="A64" s="64"/>
      <c r="B64" s="65"/>
      <c r="C64" s="23"/>
      <c r="D64" s="23"/>
      <c r="E64" s="14">
        <v>12</v>
      </c>
      <c r="F64" s="14"/>
      <c r="G64" s="96">
        <v>365000</v>
      </c>
      <c r="H64" s="96">
        <v>360000</v>
      </c>
      <c r="I64" s="96">
        <v>100000</v>
      </c>
      <c r="J64" s="243">
        <v>475000</v>
      </c>
      <c r="K64" s="370"/>
      <c r="L64" s="371"/>
      <c r="M64" s="196">
        <f>J64+K64+L64</f>
        <v>475000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>
      <c r="A73" s="24"/>
      <c r="B73" s="62">
        <v>7</v>
      </c>
      <c r="C73" s="22"/>
      <c r="D73" s="22"/>
      <c r="E73" s="11"/>
      <c r="F73" s="4" t="s">
        <v>41</v>
      </c>
      <c r="G73" s="109">
        <f aca="true" t="shared" si="9" ref="G73:I74">G74</f>
        <v>515698.80999999994</v>
      </c>
      <c r="H73" s="109">
        <f t="shared" si="9"/>
        <v>200310</v>
      </c>
      <c r="I73" s="109">
        <f t="shared" si="9"/>
        <v>167599.07</v>
      </c>
      <c r="J73" s="360">
        <f>J74</f>
        <v>0</v>
      </c>
      <c r="K73" s="365"/>
      <c r="L73" s="365"/>
      <c r="M73" s="367">
        <f aca="true" t="shared" si="10" ref="M73:M78">J73+K73+L73</f>
        <v>0</v>
      </c>
    </row>
    <row r="74" spans="1:13" ht="15.75">
      <c r="A74" s="24"/>
      <c r="B74" s="62"/>
      <c r="C74" s="22"/>
      <c r="D74" s="22"/>
      <c r="E74" s="11"/>
      <c r="F74" s="8" t="s">
        <v>9</v>
      </c>
      <c r="G74" s="94">
        <f t="shared" si="9"/>
        <v>515698.80999999994</v>
      </c>
      <c r="H74" s="94">
        <f t="shared" si="9"/>
        <v>200310</v>
      </c>
      <c r="I74" s="94">
        <f t="shared" si="9"/>
        <v>167599.07</v>
      </c>
      <c r="J74" s="362">
        <f>J75</f>
        <v>0</v>
      </c>
      <c r="K74" s="363"/>
      <c r="L74" s="363"/>
      <c r="M74" s="368">
        <f t="shared" si="10"/>
        <v>0</v>
      </c>
    </row>
    <row r="75" spans="1:13" ht="15.75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515698.80999999994</v>
      </c>
      <c r="H75" s="95">
        <f>H78+H77+H76</f>
        <v>200310</v>
      </c>
      <c r="I75" s="95">
        <f>I78+I77+I76</f>
        <v>167599.07</v>
      </c>
      <c r="J75" s="364">
        <f>J76+J77+J78</f>
        <v>0</v>
      </c>
      <c r="K75" s="365"/>
      <c r="L75" s="365"/>
      <c r="M75" s="369">
        <f t="shared" si="10"/>
        <v>0</v>
      </c>
    </row>
    <row r="76" spans="1:16" ht="15.75">
      <c r="A76" s="24"/>
      <c r="B76" s="62"/>
      <c r="C76" s="26"/>
      <c r="D76" s="26"/>
      <c r="E76" s="11">
        <v>12</v>
      </c>
      <c r="F76" s="11"/>
      <c r="G76" s="95">
        <v>462402.91</v>
      </c>
      <c r="H76" s="95">
        <v>174720</v>
      </c>
      <c r="I76" s="95">
        <f>147810.03</f>
        <v>147810.03</v>
      </c>
      <c r="J76" s="364"/>
      <c r="K76" s="365"/>
      <c r="L76" s="365"/>
      <c r="M76" s="369">
        <f t="shared" si="10"/>
        <v>0</v>
      </c>
      <c r="O76" s="194">
        <f>462402906.49/1000</f>
        <v>462402.90649</v>
      </c>
      <c r="P76" s="194">
        <f>147810034.24/1000</f>
        <v>147810.03424</v>
      </c>
    </row>
    <row r="77" spans="1:16" ht="15.75">
      <c r="A77" s="24"/>
      <c r="B77" s="62"/>
      <c r="C77" s="26"/>
      <c r="D77" s="26"/>
      <c r="E77" s="11">
        <v>14</v>
      </c>
      <c r="F77" s="11"/>
      <c r="G77" s="95">
        <v>2988.66</v>
      </c>
      <c r="H77" s="95">
        <v>4000</v>
      </c>
      <c r="I77" s="95">
        <v>3892.45</v>
      </c>
      <c r="J77" s="364"/>
      <c r="K77" s="365"/>
      <c r="L77" s="365"/>
      <c r="M77" s="369">
        <f t="shared" si="10"/>
        <v>0</v>
      </c>
      <c r="O77" s="194">
        <f>2988660.02/1000</f>
        <v>2988.66002</v>
      </c>
      <c r="P77" s="194">
        <f>3892446.5/1000</f>
        <v>3892.4465</v>
      </c>
    </row>
    <row r="78" spans="1:16" ht="15.75">
      <c r="A78" s="64"/>
      <c r="B78" s="65"/>
      <c r="C78" s="23"/>
      <c r="D78" s="23"/>
      <c r="E78" s="14">
        <v>17</v>
      </c>
      <c r="F78" s="14"/>
      <c r="G78" s="96">
        <v>50307.24</v>
      </c>
      <c r="H78" s="96">
        <v>21590</v>
      </c>
      <c r="I78" s="96">
        <v>15896.59</v>
      </c>
      <c r="J78" s="347"/>
      <c r="K78" s="371"/>
      <c r="L78" s="371"/>
      <c r="M78" s="366">
        <f t="shared" si="10"/>
        <v>0</v>
      </c>
      <c r="O78" s="194">
        <f>50307236.93/1000</f>
        <v>50307.23693</v>
      </c>
      <c r="P78" s="194">
        <f>15896585.8/1000</f>
        <v>15896.5858</v>
      </c>
    </row>
    <row r="79" spans="1:14" ht="15" customHeight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>
      <c r="A80" s="24"/>
      <c r="B80" s="62">
        <v>8</v>
      </c>
      <c r="C80" s="22"/>
      <c r="D80" s="22"/>
      <c r="E80" s="11"/>
      <c r="F80" s="4" t="s">
        <v>44</v>
      </c>
      <c r="G80" s="109">
        <f aca="true" t="shared" si="11" ref="G80:I81">G81</f>
        <v>675335.0599999999</v>
      </c>
      <c r="H80" s="109">
        <f t="shared" si="11"/>
        <v>548420</v>
      </c>
      <c r="I80" s="109">
        <f t="shared" si="11"/>
        <v>42350.850000000006</v>
      </c>
      <c r="J80" s="240">
        <f>J81</f>
        <v>27750</v>
      </c>
      <c r="K80" s="361">
        <f>K81</f>
        <v>0</v>
      </c>
      <c r="L80" s="109"/>
      <c r="M80" s="114">
        <f aca="true" t="shared" si="12" ref="M80:M85">J80+K80+L80</f>
        <v>27750</v>
      </c>
    </row>
    <row r="81" spans="1:13" ht="15.75">
      <c r="A81" s="24"/>
      <c r="B81" s="62"/>
      <c r="C81" s="22"/>
      <c r="D81" s="22"/>
      <c r="E81" s="11"/>
      <c r="F81" s="8" t="s">
        <v>9</v>
      </c>
      <c r="G81" s="94">
        <f t="shared" si="11"/>
        <v>675335.0599999999</v>
      </c>
      <c r="H81" s="94">
        <f t="shared" si="11"/>
        <v>548420</v>
      </c>
      <c r="I81" s="94">
        <f t="shared" si="11"/>
        <v>42350.850000000006</v>
      </c>
      <c r="J81" s="241">
        <f>J82</f>
        <v>27750</v>
      </c>
      <c r="K81" s="363">
        <f>K82</f>
        <v>0</v>
      </c>
      <c r="L81" s="94"/>
      <c r="M81" s="97">
        <f t="shared" si="12"/>
        <v>27750</v>
      </c>
    </row>
    <row r="82" spans="1:13" ht="15.75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675335.0599999999</v>
      </c>
      <c r="H82" s="95">
        <f>H85+H84+H83</f>
        <v>548420</v>
      </c>
      <c r="I82" s="95">
        <f>I85+I84+I83</f>
        <v>42350.850000000006</v>
      </c>
      <c r="J82" s="242">
        <f>J85+J83+J84</f>
        <v>27750</v>
      </c>
      <c r="K82" s="365">
        <f>K85+K83+K84</f>
        <v>0</v>
      </c>
      <c r="L82" s="95"/>
      <c r="M82" s="98">
        <f t="shared" si="12"/>
        <v>27750</v>
      </c>
    </row>
    <row r="83" spans="1:17" ht="15.75">
      <c r="A83" s="24"/>
      <c r="B83" s="62"/>
      <c r="C83" s="26"/>
      <c r="D83" s="26"/>
      <c r="E83" s="11">
        <v>12</v>
      </c>
      <c r="F83" s="11"/>
      <c r="G83" s="95">
        <v>586548.96</v>
      </c>
      <c r="H83" s="95">
        <v>480560</v>
      </c>
      <c r="I83" s="95">
        <v>22775.79</v>
      </c>
      <c r="J83" s="242">
        <v>15000</v>
      </c>
      <c r="K83" s="365"/>
      <c r="L83" s="95"/>
      <c r="M83" s="98">
        <f t="shared" si="12"/>
        <v>15000</v>
      </c>
      <c r="O83" s="194">
        <f>22775794.48/1000</f>
        <v>22775.79448</v>
      </c>
      <c r="P83" s="217">
        <f>64824015.01/1000</f>
        <v>64824.015009999996</v>
      </c>
      <c r="Q83" s="194">
        <f>15*1000000/1000</f>
        <v>15000</v>
      </c>
    </row>
    <row r="84" spans="1:17" ht="15.75">
      <c r="A84" s="24"/>
      <c r="B84" s="62"/>
      <c r="C84" s="26"/>
      <c r="D84" s="26"/>
      <c r="E84" s="11">
        <v>14</v>
      </c>
      <c r="F84" s="11"/>
      <c r="G84" s="95">
        <v>13819.9</v>
      </c>
      <c r="H84" s="95">
        <v>15000</v>
      </c>
      <c r="I84" s="95">
        <v>2754.65</v>
      </c>
      <c r="J84" s="242">
        <v>8250</v>
      </c>
      <c r="K84" s="365"/>
      <c r="L84" s="95"/>
      <c r="M84" s="98">
        <f t="shared" si="12"/>
        <v>8250</v>
      </c>
      <c r="O84" s="194">
        <f>2754645.58/1000</f>
        <v>2754.64558</v>
      </c>
      <c r="P84" s="217">
        <f>4060189.37/1000</f>
        <v>4060.18937</v>
      </c>
      <c r="Q84" s="194">
        <f>8.25*1000000/1000</f>
        <v>8250</v>
      </c>
    </row>
    <row r="85" spans="1:17" ht="15.75">
      <c r="A85" s="64"/>
      <c r="B85" s="65"/>
      <c r="C85" s="23"/>
      <c r="D85" s="23"/>
      <c r="E85" s="14">
        <v>17</v>
      </c>
      <c r="F85" s="14"/>
      <c r="G85" s="96">
        <v>74966.2</v>
      </c>
      <c r="H85" s="96">
        <v>52860</v>
      </c>
      <c r="I85" s="96">
        <v>16820.41</v>
      </c>
      <c r="J85" s="243">
        <v>4500</v>
      </c>
      <c r="K85" s="96"/>
      <c r="L85" s="96"/>
      <c r="M85" s="196">
        <f t="shared" si="12"/>
        <v>4500</v>
      </c>
      <c r="N85" s="194">
        <f>(52860000)/1000</f>
        <v>52860</v>
      </c>
      <c r="O85" s="194">
        <f>16820412.67/1000</f>
        <v>16820.41267</v>
      </c>
      <c r="P85" s="217">
        <f>18093620.97/1000</f>
        <v>18093.62097</v>
      </c>
      <c r="Q85" s="194">
        <f>4.5*1000000/1000</f>
        <v>4500</v>
      </c>
    </row>
    <row r="86" spans="1:13" ht="15.75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>
      <c r="A87" s="24"/>
      <c r="B87" s="62">
        <v>9</v>
      </c>
      <c r="C87" s="22"/>
      <c r="D87" s="22"/>
      <c r="E87" s="11"/>
      <c r="F87" s="4" t="s">
        <v>45</v>
      </c>
      <c r="G87" s="109">
        <f aca="true" t="shared" si="13" ref="G87:I88">G88</f>
        <v>1235438.21</v>
      </c>
      <c r="H87" s="109">
        <f t="shared" si="13"/>
        <v>1077000</v>
      </c>
      <c r="I87" s="109">
        <f t="shared" si="13"/>
        <v>492592.87</v>
      </c>
      <c r="J87" s="360">
        <f>J88</f>
        <v>0</v>
      </c>
      <c r="K87" s="365"/>
      <c r="L87" s="365"/>
      <c r="M87" s="367">
        <f>J87+K87+L87</f>
        <v>0</v>
      </c>
    </row>
    <row r="88" spans="1:13" ht="15.75">
      <c r="A88" s="24"/>
      <c r="B88" s="62"/>
      <c r="C88" s="22"/>
      <c r="D88" s="22"/>
      <c r="E88" s="11"/>
      <c r="F88" s="8" t="s">
        <v>9</v>
      </c>
      <c r="G88" s="94">
        <f t="shared" si="13"/>
        <v>1235438.21</v>
      </c>
      <c r="H88" s="94">
        <f t="shared" si="13"/>
        <v>1077000</v>
      </c>
      <c r="I88" s="94">
        <f t="shared" si="13"/>
        <v>492592.87</v>
      </c>
      <c r="J88" s="362">
        <f>J89</f>
        <v>0</v>
      </c>
      <c r="K88" s="363"/>
      <c r="L88" s="363"/>
      <c r="M88" s="368">
        <f>J88+K88+L88</f>
        <v>0</v>
      </c>
    </row>
    <row r="89" spans="1:13" ht="15.75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1235438.21</v>
      </c>
      <c r="H89" s="95">
        <f>H91+H90</f>
        <v>1077000</v>
      </c>
      <c r="I89" s="95">
        <f>I91+I90</f>
        <v>492592.87</v>
      </c>
      <c r="J89" s="364">
        <f>J91+J90</f>
        <v>0</v>
      </c>
      <c r="K89" s="365"/>
      <c r="L89" s="365"/>
      <c r="M89" s="369">
        <f>J89+K89+L89</f>
        <v>0</v>
      </c>
    </row>
    <row r="90" spans="1:16" ht="15.75">
      <c r="A90" s="24"/>
      <c r="B90" s="62"/>
      <c r="C90" s="26"/>
      <c r="D90" s="26"/>
      <c r="E90" s="11">
        <v>12</v>
      </c>
      <c r="F90" s="11"/>
      <c r="G90" s="95">
        <v>1117250.99</v>
      </c>
      <c r="H90" s="95">
        <v>892000</v>
      </c>
      <c r="I90" s="95">
        <v>436993.58</v>
      </c>
      <c r="J90" s="364"/>
      <c r="K90" s="365"/>
      <c r="L90" s="365"/>
      <c r="M90" s="369">
        <f>J90+K90+L90</f>
        <v>0</v>
      </c>
      <c r="N90" s="194">
        <f>1117250988.01/1000</f>
        <v>1117250.98801</v>
      </c>
      <c r="O90" s="194">
        <f>436993582.13/1000</f>
        <v>436993.58213</v>
      </c>
      <c r="P90" s="217">
        <f>517822407.17/1000</f>
        <v>517822.40717</v>
      </c>
    </row>
    <row r="91" spans="1:16" ht="15.75">
      <c r="A91" s="64"/>
      <c r="B91" s="65"/>
      <c r="C91" s="23"/>
      <c r="D91" s="23"/>
      <c r="E91" s="14">
        <v>17</v>
      </c>
      <c r="F91" s="14"/>
      <c r="G91" s="96">
        <v>118187.22</v>
      </c>
      <c r="H91" s="96">
        <v>185000</v>
      </c>
      <c r="I91" s="96">
        <v>55599.29</v>
      </c>
      <c r="J91" s="347"/>
      <c r="K91" s="371"/>
      <c r="L91" s="371"/>
      <c r="M91" s="366">
        <f>J91+K91+L91</f>
        <v>0</v>
      </c>
      <c r="N91" s="194">
        <f>118187217.7/1000</f>
        <v>118187.21770000001</v>
      </c>
      <c r="O91" s="194">
        <f>55599292.21/1000</f>
        <v>55599.29221</v>
      </c>
      <c r="P91" s="217">
        <f>74957202.59/1000</f>
        <v>74957.20259</v>
      </c>
    </row>
    <row r="92" spans="1:13" ht="15.75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>
      <c r="A93" s="24"/>
      <c r="B93" s="62">
        <v>10</v>
      </c>
      <c r="C93" s="22"/>
      <c r="D93" s="22"/>
      <c r="E93" s="11"/>
      <c r="F93" s="4" t="s">
        <v>46</v>
      </c>
      <c r="G93" s="109">
        <f aca="true" t="shared" si="14" ref="G93:I94">G94</f>
        <v>638295.78</v>
      </c>
      <c r="H93" s="109">
        <f t="shared" si="14"/>
        <v>909000</v>
      </c>
      <c r="I93" s="109">
        <f t="shared" si="14"/>
        <v>136761.46</v>
      </c>
      <c r="J93" s="240">
        <f>J94</f>
        <v>417000</v>
      </c>
      <c r="K93" s="95"/>
      <c r="L93" s="95"/>
      <c r="M93" s="114">
        <f>J93+K93+L93</f>
        <v>417000</v>
      </c>
    </row>
    <row r="94" spans="1:13" ht="15.75">
      <c r="A94" s="24"/>
      <c r="B94" s="62"/>
      <c r="C94" s="22"/>
      <c r="D94" s="22"/>
      <c r="E94" s="11"/>
      <c r="F94" s="8" t="s">
        <v>9</v>
      </c>
      <c r="G94" s="94">
        <f t="shared" si="14"/>
        <v>638295.78</v>
      </c>
      <c r="H94" s="94">
        <f t="shared" si="14"/>
        <v>909000</v>
      </c>
      <c r="I94" s="94">
        <f t="shared" si="14"/>
        <v>136761.46</v>
      </c>
      <c r="J94" s="241">
        <f>J95</f>
        <v>417000</v>
      </c>
      <c r="K94" s="94"/>
      <c r="L94" s="94"/>
      <c r="M94" s="97">
        <f>J94+K94+L94</f>
        <v>417000</v>
      </c>
    </row>
    <row r="95" spans="1:13" ht="15.75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638295.78</v>
      </c>
      <c r="H95" s="95">
        <f>H97+H96</f>
        <v>909000</v>
      </c>
      <c r="I95" s="95">
        <f>I97+I96</f>
        <v>136761.46</v>
      </c>
      <c r="J95" s="242">
        <f>J97+J96</f>
        <v>417000</v>
      </c>
      <c r="K95" s="95"/>
      <c r="L95" s="95"/>
      <c r="M95" s="98">
        <f>J95+K95+L95</f>
        <v>417000</v>
      </c>
    </row>
    <row r="96" spans="1:17" ht="15.75">
      <c r="A96" s="24"/>
      <c r="B96" s="62"/>
      <c r="C96" s="26"/>
      <c r="D96" s="26"/>
      <c r="E96" s="11">
        <v>12</v>
      </c>
      <c r="F96" s="11"/>
      <c r="G96" s="95">
        <v>512801.72</v>
      </c>
      <c r="H96" s="95">
        <v>741000</v>
      </c>
      <c r="I96" s="95">
        <v>75199.98</v>
      </c>
      <c r="J96" s="242">
        <v>300000</v>
      </c>
      <c r="K96" s="95"/>
      <c r="L96" s="95"/>
      <c r="M96" s="98">
        <f>J96+K96+L96</f>
        <v>300000</v>
      </c>
      <c r="N96" s="194">
        <f>512801720.89/1000</f>
        <v>512801.72089</v>
      </c>
      <c r="O96" s="194">
        <f>75199982.09/1000</f>
        <v>75199.98209</v>
      </c>
      <c r="P96" s="217">
        <f>318563378.21/1000</f>
        <v>318563.37821</v>
      </c>
      <c r="Q96" s="220"/>
    </row>
    <row r="97" spans="1:16" ht="15.75">
      <c r="A97" s="64"/>
      <c r="B97" s="65"/>
      <c r="C97" s="23"/>
      <c r="D97" s="23"/>
      <c r="E97" s="14">
        <v>17</v>
      </c>
      <c r="F97" s="14"/>
      <c r="G97" s="96">
        <v>125494.06</v>
      </c>
      <c r="H97" s="96">
        <v>168000</v>
      </c>
      <c r="I97" s="96">
        <v>61561.48</v>
      </c>
      <c r="J97" s="243">
        <v>117000</v>
      </c>
      <c r="K97" s="107"/>
      <c r="L97" s="107"/>
      <c r="M97" s="196">
        <f>J97+K97+L97</f>
        <v>117000</v>
      </c>
      <c r="N97" s="194">
        <f>125494063.56/1000</f>
        <v>125494.06356000001</v>
      </c>
      <c r="O97" s="194">
        <f>61561480.14/1000</f>
        <v>61561.48014</v>
      </c>
      <c r="P97" s="217">
        <f>73525587.12/1000</f>
        <v>73525.58712000001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24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25</v>
      </c>
      <c r="C109" s="22"/>
      <c r="D109" s="22"/>
      <c r="E109" s="11"/>
      <c r="F109" s="4" t="s">
        <v>65</v>
      </c>
      <c r="G109" s="109">
        <f aca="true" t="shared" si="16" ref="G109:K110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/>
      <c r="H111" s="95"/>
      <c r="I111" s="95"/>
      <c r="J111" s="242"/>
      <c r="K111" s="95"/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28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29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98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31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3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</row>
    <row r="134" spans="1:13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</row>
    <row r="135" spans="1:13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</row>
    <row r="136" spans="1:13" ht="15.75" hidden="1">
      <c r="A136" s="24"/>
      <c r="B136" s="62"/>
      <c r="C136" s="22"/>
      <c r="D136" s="22"/>
      <c r="E136" s="11"/>
      <c r="F136" s="18" t="s">
        <v>50</v>
      </c>
      <c r="G136" s="95"/>
      <c r="H136" s="95"/>
      <c r="I136" s="95"/>
      <c r="J136" s="242"/>
      <c r="K136" s="104"/>
      <c r="L136" s="104"/>
      <c r="M136" s="198"/>
    </row>
    <row r="137" spans="1:13" ht="78.75" hidden="1">
      <c r="A137" s="24"/>
      <c r="B137" s="62">
        <v>34</v>
      </c>
      <c r="C137" s="22"/>
      <c r="D137" s="22"/>
      <c r="E137" s="22"/>
      <c r="F137" s="99" t="s">
        <v>64</v>
      </c>
      <c r="G137" s="109">
        <f aca="true" t="shared" si="21" ref="G137:J138">G138</f>
        <v>0</v>
      </c>
      <c r="H137" s="109">
        <f t="shared" si="21"/>
        <v>0</v>
      </c>
      <c r="I137" s="109">
        <f t="shared" si="21"/>
        <v>0</v>
      </c>
      <c r="J137" s="240">
        <f t="shared" si="21"/>
        <v>0</v>
      </c>
      <c r="K137" s="109"/>
      <c r="L137" s="94"/>
      <c r="M137" s="114">
        <f>J137+K137+L137</f>
        <v>0</v>
      </c>
    </row>
    <row r="138" spans="1:13" ht="15.75" hidden="1">
      <c r="A138" s="24"/>
      <c r="B138" s="62"/>
      <c r="C138" s="22"/>
      <c r="D138" s="22"/>
      <c r="E138" s="11"/>
      <c r="F138" s="8" t="s">
        <v>9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241">
        <f t="shared" si="21"/>
        <v>0</v>
      </c>
      <c r="K138" s="94"/>
      <c r="L138" s="94"/>
      <c r="M138" s="97">
        <f>J138+K138+L138</f>
        <v>0</v>
      </c>
    </row>
    <row r="139" spans="1:13" ht="15.75" hidden="1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0</v>
      </c>
      <c r="H139" s="95">
        <f>H140+H141</f>
        <v>0</v>
      </c>
      <c r="I139" s="95">
        <f>I140+I141</f>
        <v>0</v>
      </c>
      <c r="J139" s="242">
        <f>J140+J141</f>
        <v>0</v>
      </c>
      <c r="K139" s="95"/>
      <c r="L139" s="95"/>
      <c r="M139" s="98">
        <f>J139+K139+L139</f>
        <v>0</v>
      </c>
    </row>
    <row r="140" spans="1:13" ht="15.75" hidden="1">
      <c r="A140" s="24"/>
      <c r="B140" s="62"/>
      <c r="C140" s="22"/>
      <c r="D140" s="22"/>
      <c r="E140" s="11">
        <v>12</v>
      </c>
      <c r="F140" s="11"/>
      <c r="G140" s="95"/>
      <c r="H140" s="95"/>
      <c r="I140" s="95"/>
      <c r="J140" s="242"/>
      <c r="K140" s="95"/>
      <c r="L140" s="100"/>
      <c r="M140" s="98">
        <f>J140+K140+L140</f>
        <v>0</v>
      </c>
    </row>
    <row r="141" spans="1:13" ht="15.75" hidden="1">
      <c r="A141" s="64"/>
      <c r="B141" s="65"/>
      <c r="C141" s="23"/>
      <c r="D141" s="23"/>
      <c r="E141" s="14">
        <v>13</v>
      </c>
      <c r="F141" s="14"/>
      <c r="G141" s="96"/>
      <c r="H141" s="96"/>
      <c r="I141" s="96"/>
      <c r="J141" s="243"/>
      <c r="K141" s="96"/>
      <c r="L141" s="107"/>
      <c r="M141" s="196">
        <f>J141+K141+L141</f>
        <v>0</v>
      </c>
    </row>
    <row r="142" spans="1:13" ht="15.75" hidden="1">
      <c r="A142" s="24"/>
      <c r="B142" s="62"/>
      <c r="C142" s="22"/>
      <c r="D142" s="22"/>
      <c r="E142" s="11"/>
      <c r="F142" s="18" t="s">
        <v>50</v>
      </c>
      <c r="G142" s="95"/>
      <c r="H142" s="95"/>
      <c r="I142" s="95"/>
      <c r="J142" s="242"/>
      <c r="K142" s="95"/>
      <c r="L142" s="104"/>
      <c r="M142" s="98"/>
    </row>
    <row r="143" spans="1:13" ht="36.75" customHeight="1" hidden="1">
      <c r="A143" s="24"/>
      <c r="B143" s="62">
        <v>35</v>
      </c>
      <c r="C143" s="22"/>
      <c r="D143" s="22"/>
      <c r="E143" s="11"/>
      <c r="F143" s="4" t="s">
        <v>65</v>
      </c>
      <c r="G143" s="109">
        <f aca="true" t="shared" si="22" ref="G143:K145">G144</f>
        <v>0</v>
      </c>
      <c r="H143" s="109">
        <f t="shared" si="22"/>
        <v>0</v>
      </c>
      <c r="I143" s="109">
        <f t="shared" si="22"/>
        <v>0</v>
      </c>
      <c r="J143" s="240">
        <f t="shared" si="22"/>
        <v>0</v>
      </c>
      <c r="K143" s="109">
        <f t="shared" si="22"/>
        <v>0</v>
      </c>
      <c r="L143" s="95"/>
      <c r="M143" s="114">
        <f>J143+K143+L143</f>
        <v>0</v>
      </c>
    </row>
    <row r="144" spans="1:13" ht="15.75" hidden="1">
      <c r="A144" s="24"/>
      <c r="B144" s="62"/>
      <c r="C144" s="22"/>
      <c r="D144" s="22"/>
      <c r="E144" s="11"/>
      <c r="F144" s="8" t="s">
        <v>9</v>
      </c>
      <c r="G144" s="94">
        <f t="shared" si="22"/>
        <v>0</v>
      </c>
      <c r="H144" s="94">
        <f t="shared" si="22"/>
        <v>0</v>
      </c>
      <c r="I144" s="94">
        <f t="shared" si="22"/>
        <v>0</v>
      </c>
      <c r="J144" s="241">
        <f t="shared" si="22"/>
        <v>0</v>
      </c>
      <c r="K144" s="94">
        <f t="shared" si="22"/>
        <v>0</v>
      </c>
      <c r="L144" s="94"/>
      <c r="M144" s="97">
        <f>J144+K144+L144</f>
        <v>0</v>
      </c>
    </row>
    <row r="145" spans="1:13" ht="15.75" hidden="1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0</v>
      </c>
      <c r="H145" s="95">
        <f t="shared" si="22"/>
        <v>0</v>
      </c>
      <c r="I145" s="95">
        <f>I146</f>
        <v>0</v>
      </c>
      <c r="J145" s="242">
        <f t="shared" si="22"/>
        <v>0</v>
      </c>
      <c r="K145" s="95">
        <f t="shared" si="22"/>
        <v>0</v>
      </c>
      <c r="L145" s="95"/>
      <c r="M145" s="98">
        <f>J145+K145+L145</f>
        <v>0</v>
      </c>
    </row>
    <row r="146" spans="1:13" ht="17.25" customHeight="1" hidden="1">
      <c r="A146" s="64"/>
      <c r="B146" s="65"/>
      <c r="C146" s="23"/>
      <c r="D146" s="23"/>
      <c r="E146" s="14">
        <v>12</v>
      </c>
      <c r="F146" s="14"/>
      <c r="G146" s="96"/>
      <c r="H146" s="96"/>
      <c r="I146" s="96"/>
      <c r="J146" s="243"/>
      <c r="K146" s="96"/>
      <c r="L146" s="107"/>
      <c r="M146" s="98">
        <f>J146+K146+L146</f>
        <v>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 aca="true" t="shared" si="27" ref="G198:M198">G19+G13+G24+G30+G40+G46+G56+G62+G67+G74+G81+G88+G94+G100+G110+G115+G121+G126+G131+G138+G144+G149+G159+G165+G170+G176+G182+G187+G194+G35</f>
        <v>3718767.8600000003</v>
      </c>
      <c r="H198" s="251">
        <f t="shared" si="27"/>
        <v>3409730</v>
      </c>
      <c r="I198" s="251">
        <f t="shared" si="27"/>
        <v>1084304.25</v>
      </c>
      <c r="J198" s="251">
        <f t="shared" si="27"/>
        <v>1019750</v>
      </c>
      <c r="K198" s="251">
        <f t="shared" si="27"/>
        <v>0</v>
      </c>
      <c r="L198" s="251">
        <f t="shared" si="27"/>
        <v>0</v>
      </c>
      <c r="M198" s="251">
        <f t="shared" si="27"/>
        <v>1019750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3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3718767.8600000003</v>
      </c>
      <c r="H200" s="245">
        <f aca="true" t="shared" si="28" ref="H200:M200">H12+H18+H23+H29+H39+H45+H55+H61+H66+H73+H80+H87+H93+H99+H109+H114+H120+H125+H130+H137+H143+H148+H158+H164+H169+H175+H181+H186+H193</f>
        <v>3409730</v>
      </c>
      <c r="I200" s="245">
        <f t="shared" si="28"/>
        <v>1084304.25</v>
      </c>
      <c r="J200" s="245">
        <f t="shared" si="28"/>
        <v>1019750</v>
      </c>
      <c r="K200" s="245">
        <f t="shared" si="28"/>
        <v>0</v>
      </c>
      <c r="L200" s="245">
        <f t="shared" si="28"/>
        <v>0</v>
      </c>
      <c r="M200" s="246">
        <f t="shared" si="28"/>
        <v>1019750</v>
      </c>
    </row>
    <row r="201" spans="1:13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v>0</v>
      </c>
      <c r="H202" s="12">
        <v>0</v>
      </c>
      <c r="I202" s="12">
        <v>0</v>
      </c>
      <c r="J202" s="259">
        <v>0</v>
      </c>
      <c r="K202" s="12">
        <v>0</v>
      </c>
      <c r="L202" s="12">
        <v>0</v>
      </c>
      <c r="M202" s="81">
        <v>0</v>
      </c>
    </row>
    <row r="203" spans="1:13" ht="15.75">
      <c r="A203" s="24"/>
      <c r="B203" s="7"/>
      <c r="C203" s="8" t="s">
        <v>16</v>
      </c>
      <c r="D203" s="8"/>
      <c r="E203" s="8"/>
      <c r="F203" s="8"/>
      <c r="G203" s="9">
        <f aca="true" t="shared" si="30" ref="G203:M203">G204+G205+G206</f>
        <v>3349813.14</v>
      </c>
      <c r="H203" s="9">
        <f t="shared" si="30"/>
        <v>2982280</v>
      </c>
      <c r="I203" s="9">
        <f t="shared" si="30"/>
        <v>934426.48</v>
      </c>
      <c r="J203" s="238">
        <f t="shared" si="30"/>
        <v>898250</v>
      </c>
      <c r="K203" s="9">
        <f t="shared" si="30"/>
        <v>0</v>
      </c>
      <c r="L203" s="9">
        <f t="shared" si="30"/>
        <v>0</v>
      </c>
      <c r="M203" s="83">
        <f t="shared" si="30"/>
        <v>898250</v>
      </c>
    </row>
    <row r="204" spans="1:13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1" ref="G204:M204">G15+G21+G26+G32+G42+G48+G58+G64+G76+G83+G90+G96+G102+G112+G117+G123+G133+G140+G146+G161+G167+G172+G178+G189+G196+G69+G128+G151+G184+G36</f>
        <v>3239004.58</v>
      </c>
      <c r="H204" s="12">
        <f t="shared" si="31"/>
        <v>2838280</v>
      </c>
      <c r="I204" s="12">
        <f t="shared" si="31"/>
        <v>852779.38</v>
      </c>
      <c r="J204" s="232">
        <f t="shared" si="31"/>
        <v>890000</v>
      </c>
      <c r="K204" s="12">
        <f t="shared" si="31"/>
        <v>0</v>
      </c>
      <c r="L204" s="12">
        <f t="shared" si="31"/>
        <v>0</v>
      </c>
      <c r="M204" s="81">
        <f t="shared" si="31"/>
        <v>890000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2" ref="G205:M205">G16+G27+G43+G59+G103+G118+G141+G162+G179</f>
        <v>94000</v>
      </c>
      <c r="H205" s="12">
        <f t="shared" si="32"/>
        <v>125000</v>
      </c>
      <c r="I205" s="12">
        <f t="shared" si="32"/>
        <v>75000</v>
      </c>
      <c r="J205" s="259">
        <f t="shared" si="32"/>
        <v>0</v>
      </c>
      <c r="K205" s="12">
        <f t="shared" si="32"/>
        <v>0</v>
      </c>
      <c r="L205" s="12">
        <f t="shared" si="32"/>
        <v>0</v>
      </c>
      <c r="M205" s="81">
        <f t="shared" si="32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3" ref="G206:M206">G70+G77+G84+G134+G190</f>
        <v>16808.559999999998</v>
      </c>
      <c r="H206" s="15">
        <f t="shared" si="33"/>
        <v>19000</v>
      </c>
      <c r="I206" s="15">
        <f t="shared" si="33"/>
        <v>6647.1</v>
      </c>
      <c r="J206" s="260">
        <f t="shared" si="33"/>
        <v>8250</v>
      </c>
      <c r="K206" s="15">
        <f t="shared" si="33"/>
        <v>0</v>
      </c>
      <c r="L206" s="15">
        <f t="shared" si="33"/>
        <v>0</v>
      </c>
      <c r="M206" s="84">
        <f t="shared" si="33"/>
        <v>8250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 aca="true" t="shared" si="34" ref="G208:M208">G10-G198</f>
        <v>0</v>
      </c>
      <c r="H208" s="12">
        <f t="shared" si="34"/>
        <v>0</v>
      </c>
      <c r="I208" s="12">
        <f t="shared" si="34"/>
        <v>0</v>
      </c>
      <c r="J208" s="12">
        <f t="shared" si="34"/>
        <v>0</v>
      </c>
      <c r="K208" s="12">
        <f t="shared" si="34"/>
        <v>0</v>
      </c>
      <c r="L208" s="12">
        <f t="shared" si="34"/>
        <v>0</v>
      </c>
      <c r="M208" s="12">
        <f t="shared" si="34"/>
        <v>0</v>
      </c>
    </row>
    <row r="209" spans="1:15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5" ref="H209:M209">H198-H200</f>
        <v>0</v>
      </c>
      <c r="I209" s="12">
        <f t="shared" si="35"/>
        <v>0</v>
      </c>
      <c r="J209" s="12">
        <f t="shared" si="35"/>
        <v>0</v>
      </c>
      <c r="K209" s="12">
        <f t="shared" si="35"/>
        <v>0</v>
      </c>
      <c r="L209" s="12">
        <f t="shared" si="35"/>
        <v>0</v>
      </c>
      <c r="M209" s="12">
        <f t="shared" si="35"/>
        <v>0</v>
      </c>
      <c r="N209"/>
      <c r="O209"/>
    </row>
    <row r="210" spans="7:15" ht="12.75">
      <c r="G210" s="123">
        <f aca="true" t="shared" si="36" ref="G210:M210">G200-G10</f>
        <v>0</v>
      </c>
      <c r="H210" s="123">
        <f t="shared" si="36"/>
        <v>0</v>
      </c>
      <c r="I210" s="123">
        <f t="shared" si="36"/>
        <v>0</v>
      </c>
      <c r="J210" s="123">
        <f t="shared" si="36"/>
        <v>0</v>
      </c>
      <c r="K210" s="123">
        <f t="shared" si="36"/>
        <v>0</v>
      </c>
      <c r="L210" s="123">
        <f t="shared" si="36"/>
        <v>0</v>
      </c>
      <c r="M210" s="123">
        <f t="shared" si="36"/>
        <v>0</v>
      </c>
      <c r="N210"/>
      <c r="O210"/>
    </row>
    <row r="211" spans="7:15" ht="12.75">
      <c r="G211" s="123"/>
      <c r="H211" s="123"/>
      <c r="I211" s="194"/>
      <c r="J211" s="123"/>
      <c r="K211" s="123"/>
      <c r="L211" s="123"/>
      <c r="M211" s="123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6:15" ht="15.75">
      <c r="F213" s="539"/>
      <c r="G213" s="539"/>
      <c r="H213" s="339"/>
      <c r="I213" s="340"/>
      <c r="J213" s="314"/>
      <c r="K213" s="314"/>
      <c r="N213"/>
      <c r="O213"/>
    </row>
    <row r="214" spans="6:15" ht="15.75">
      <c r="F214" s="314"/>
      <c r="G214" s="314"/>
      <c r="H214" s="341"/>
      <c r="I214" s="340"/>
      <c r="J214" s="342"/>
      <c r="K214" s="342"/>
      <c r="N214"/>
      <c r="O214"/>
    </row>
    <row r="215" spans="6:15" ht="15.75">
      <c r="F215" s="314"/>
      <c r="G215" s="314"/>
      <c r="H215" s="343"/>
      <c r="I215" s="104"/>
      <c r="J215" s="342"/>
      <c r="K215" s="314"/>
      <c r="N215"/>
      <c r="O215"/>
    </row>
    <row r="216" spans="6:15" ht="15.75">
      <c r="F216" s="314"/>
      <c r="G216" s="314"/>
      <c r="H216" s="314"/>
      <c r="I216" s="104"/>
      <c r="J216" s="314"/>
      <c r="K216" s="314"/>
      <c r="N216"/>
      <c r="O216"/>
    </row>
    <row r="217" spans="6:15" ht="15.75">
      <c r="F217" s="314"/>
      <c r="G217" s="314"/>
      <c r="H217" s="314"/>
      <c r="I217" s="292"/>
      <c r="J217" s="314"/>
      <c r="K217" s="314"/>
      <c r="N217"/>
      <c r="O217"/>
    </row>
    <row r="218" spans="9:15" ht="12.75">
      <c r="I218" s="194"/>
      <c r="N218"/>
      <c r="O218"/>
    </row>
  </sheetData>
  <sheetProtection/>
  <mergeCells count="83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M7:M8"/>
    <mergeCell ref="K8:L9"/>
    <mergeCell ref="C14:D14"/>
    <mergeCell ref="C20:D20"/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M154:M155"/>
    <mergeCell ref="C122:D122"/>
    <mergeCell ref="C127:D127"/>
    <mergeCell ref="C132:D132"/>
    <mergeCell ref="C139:D139"/>
    <mergeCell ref="C145:D145"/>
    <mergeCell ref="C150:D150"/>
    <mergeCell ref="C183:D183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C188:D188"/>
    <mergeCell ref="C195:D195"/>
    <mergeCell ref="A200:F200"/>
    <mergeCell ref="F212:G212"/>
    <mergeCell ref="F213:G213"/>
    <mergeCell ref="K155:L156"/>
    <mergeCell ref="C160:D160"/>
    <mergeCell ref="C166:D166"/>
    <mergeCell ref="C171:D171"/>
    <mergeCell ref="C177:D177"/>
  </mergeCells>
  <printOptions/>
  <pageMargins left="0.28" right="0.2" top="0.21" bottom="0.31" header="0.17" footer="0.17"/>
  <pageSetup horizontalDpi="600" verticalDpi="600" orientation="portrait" paperSize="9" scale="7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66FF"/>
  </sheetPr>
  <dimension ref="A1:Q218"/>
  <sheetViews>
    <sheetView zoomScalePageLayoutView="0" workbookViewId="0" topLeftCell="A200">
      <selection activeCell="A1" sqref="A1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7" width="11.421875" style="0" customWidth="1"/>
    <col min="8" max="8" width="13.00390625" style="0" customWidth="1"/>
    <col min="9" max="9" width="13.57421875" style="0" customWidth="1"/>
    <col min="10" max="10" width="11.28125" style="0" customWidth="1"/>
    <col min="11" max="11" width="10.28125" style="0" customWidth="1"/>
    <col min="12" max="12" width="9.7109375" style="0" customWidth="1"/>
    <col min="13" max="13" width="14.28125" style="0" customWidth="1"/>
    <col min="14" max="14" width="11.28125" style="217" bestFit="1" customWidth="1"/>
    <col min="15" max="15" width="14.00390625" style="194" bestFit="1" customWidth="1"/>
    <col min="16" max="16" width="16.28125" style="194" customWidth="1"/>
    <col min="17" max="17" width="15.00390625" style="0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78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18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19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629000</v>
      </c>
      <c r="H10" s="203">
        <f aca="true" t="shared" si="0" ref="H10:M10">H12+H18+H23+H29+H39+H45+H55+H61+H66+H73+H80+H87+H93+H99+H109+H114+H120+H125+H130+H137+H143+H148+H158+H164+H169+H175+H181+H186+H193</f>
        <v>655000</v>
      </c>
      <c r="I10" s="203">
        <f t="shared" si="0"/>
        <v>239000</v>
      </c>
      <c r="J10" s="203">
        <f t="shared" si="0"/>
        <v>569000</v>
      </c>
      <c r="K10" s="203">
        <f t="shared" si="0"/>
        <v>0</v>
      </c>
      <c r="L10" s="203">
        <f t="shared" si="0"/>
        <v>0</v>
      </c>
      <c r="M10" s="208">
        <f t="shared" si="0"/>
        <v>569000</v>
      </c>
    </row>
    <row r="11" spans="1:13" ht="17.25" hidden="1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  <c r="N18" s="218"/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/>
      <c r="H21" s="96"/>
      <c r="I21" s="96"/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3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/>
      <c r="H42" s="95"/>
      <c r="I42" s="95"/>
      <c r="J42" s="242"/>
      <c r="K42" s="95"/>
      <c r="L42" s="100"/>
      <c r="M42" s="98"/>
    </row>
    <row r="43" spans="1:15" ht="15.75" hidden="1">
      <c r="A43" s="64"/>
      <c r="B43" s="65"/>
      <c r="C43" s="23"/>
      <c r="D43" s="23"/>
      <c r="E43" s="14">
        <v>13</v>
      </c>
      <c r="F43" s="14"/>
      <c r="G43" s="96"/>
      <c r="H43" s="96"/>
      <c r="I43" s="96"/>
      <c r="J43" s="243"/>
      <c r="K43" s="96"/>
      <c r="L43" s="107"/>
      <c r="M43" s="196"/>
      <c r="O43" s="194">
        <f>72525025.4/1000</f>
        <v>72525.02540000001</v>
      </c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4</v>
      </c>
      <c r="C45" s="22"/>
      <c r="D45" s="22"/>
      <c r="E45" s="11"/>
      <c r="F45" s="4" t="s">
        <v>65</v>
      </c>
      <c r="G45" s="109">
        <f aca="true" t="shared" si="6" ref="G45:K46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/>
      <c r="H47" s="95"/>
      <c r="I47" s="95"/>
      <c r="J47" s="242"/>
      <c r="K47" s="95"/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>
        <v>0</v>
      </c>
      <c r="H48" s="96">
        <v>0</v>
      </c>
      <c r="I48" s="96">
        <v>0</v>
      </c>
      <c r="J48" s="243"/>
      <c r="K48" s="96"/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3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>J56</f>
        <v>0</v>
      </c>
      <c r="K55" s="109">
        <f>K56</f>
        <v>0</v>
      </c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>
        <f>K57</f>
        <v>0</v>
      </c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>
        <f>G58+G59</f>
        <v>0</v>
      </c>
      <c r="H57" s="95">
        <f>H58+H59</f>
        <v>0</v>
      </c>
      <c r="I57" s="95">
        <f>I58+I59</f>
        <v>0</v>
      </c>
      <c r="J57" s="242">
        <f>J58+J59</f>
        <v>0</v>
      </c>
      <c r="K57" s="95">
        <f>K58+K59</f>
        <v>0</v>
      </c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/>
      <c r="H58" s="95"/>
      <c r="I58" s="95"/>
      <c r="J58" s="242"/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/>
      <c r="H59" s="96"/>
      <c r="I59" s="96"/>
      <c r="J59" s="243"/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4</v>
      </c>
      <c r="C61" s="22"/>
      <c r="D61" s="22"/>
      <c r="E61" s="11"/>
      <c r="F61" s="4" t="s">
        <v>24</v>
      </c>
      <c r="G61" s="109">
        <f aca="true" t="shared" si="8" ref="G61:K63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>G63</f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>
        <f>G64</f>
        <v>0</v>
      </c>
      <c r="H63" s="95">
        <f t="shared" si="8"/>
        <v>0</v>
      </c>
      <c r="I63" s="95">
        <f t="shared" si="8"/>
        <v>0</v>
      </c>
      <c r="J63" s="242">
        <f>J64</f>
        <v>0</v>
      </c>
      <c r="K63" s="95">
        <f t="shared" si="8"/>
        <v>0</v>
      </c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/>
      <c r="H64" s="96"/>
      <c r="I64" s="96"/>
      <c r="J64" s="243"/>
      <c r="K64" s="96"/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7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6" ht="15.75" hidden="1">
      <c r="A76" s="24"/>
      <c r="B76" s="62"/>
      <c r="C76" s="26"/>
      <c r="D76" s="26"/>
      <c r="E76" s="11">
        <v>12</v>
      </c>
      <c r="F76" s="11"/>
      <c r="G76" s="95"/>
      <c r="H76" s="95"/>
      <c r="I76" s="95"/>
      <c r="J76" s="242"/>
      <c r="K76" s="95"/>
      <c r="L76" s="95"/>
      <c r="M76" s="98">
        <f t="shared" si="10"/>
        <v>0</v>
      </c>
      <c r="O76" s="194">
        <f>462402906.49/1000</f>
        <v>462402.90649</v>
      </c>
      <c r="P76" s="194">
        <f>147810034.24/1000</f>
        <v>147810.03424</v>
      </c>
    </row>
    <row r="77" spans="1:16" ht="15.75" hidden="1">
      <c r="A77" s="24"/>
      <c r="B77" s="62"/>
      <c r="C77" s="26"/>
      <c r="D77" s="26"/>
      <c r="E77" s="11">
        <v>14</v>
      </c>
      <c r="F77" s="11"/>
      <c r="G77" s="95"/>
      <c r="H77" s="95"/>
      <c r="I77" s="95"/>
      <c r="J77" s="242"/>
      <c r="K77" s="95"/>
      <c r="L77" s="95"/>
      <c r="M77" s="98">
        <f t="shared" si="10"/>
        <v>0</v>
      </c>
      <c r="O77" s="194">
        <f>2988660.02/1000</f>
        <v>2988.66002</v>
      </c>
      <c r="P77" s="194">
        <f>3892446.5/1000</f>
        <v>3892.4465</v>
      </c>
    </row>
    <row r="78" spans="1:17" ht="15.75" hidden="1">
      <c r="A78" s="64"/>
      <c r="B78" s="65"/>
      <c r="C78" s="23"/>
      <c r="D78" s="23"/>
      <c r="E78" s="14">
        <v>17</v>
      </c>
      <c r="F78" s="14"/>
      <c r="G78" s="96"/>
      <c r="H78" s="96"/>
      <c r="I78" s="96"/>
      <c r="J78" s="243"/>
      <c r="K78" s="107"/>
      <c r="L78" s="107"/>
      <c r="M78" s="196">
        <f t="shared" si="10"/>
        <v>0</v>
      </c>
      <c r="O78" s="194">
        <f>50307236.93/1000</f>
        <v>50307.23693</v>
      </c>
      <c r="P78" s="194">
        <f>15896585.8/1000</f>
        <v>15896.5858</v>
      </c>
      <c r="Q78" s="194"/>
    </row>
    <row r="79" spans="1:14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 hidden="1">
      <c r="A80" s="24"/>
      <c r="B80" s="62">
        <v>8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7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  <c r="O83" s="194">
        <f>586548956.02/1000</f>
        <v>586548.9560199999</v>
      </c>
      <c r="P83" s="194">
        <f>64824015.01/1000</f>
        <v>64824.015009999996</v>
      </c>
      <c r="Q83" s="194"/>
    </row>
    <row r="84" spans="1:16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  <c r="O84" s="194">
        <f>13819901.67/1000</f>
        <v>13819.90167</v>
      </c>
      <c r="P84" s="194">
        <f>4060189.37/1000</f>
        <v>4060.18937</v>
      </c>
    </row>
    <row r="85" spans="1:16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  <c r="N85" s="194">
        <f>(97880000+7700000)/1000</f>
        <v>105580</v>
      </c>
      <c r="O85" s="194">
        <f>74966201.95/1000</f>
        <v>74966.20195</v>
      </c>
      <c r="P85" s="194">
        <f>18093620.97/1000</f>
        <v>18093.62097</v>
      </c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9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7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  <c r="O90" s="194">
        <f>1117250988.01/1000</f>
        <v>1117250.98801</v>
      </c>
      <c r="P90" s="194">
        <f>517822407.17/1000</f>
        <v>517822.40717</v>
      </c>
      <c r="Q90" s="194"/>
    </row>
    <row r="91" spans="1:16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  <c r="O91" s="194">
        <f>118187217.7/1000</f>
        <v>118187.21770000001</v>
      </c>
      <c r="P91" s="194">
        <f>74957202.59/1000</f>
        <v>74957.20259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10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7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  <c r="O96" s="194">
        <f>512801720.89/1000</f>
        <v>512801.72089</v>
      </c>
      <c r="P96" s="194">
        <f>318563378.21/1000</f>
        <v>318563.37821</v>
      </c>
      <c r="Q96" s="220"/>
    </row>
    <row r="97" spans="1:16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  <c r="O97" s="194">
        <f>125494063.56/1000</f>
        <v>125494.06356000001</v>
      </c>
      <c r="P97" s="194">
        <f>73525587.12/1000</f>
        <v>73525.58712000001</v>
      </c>
    </row>
    <row r="98" spans="1:13" ht="15.75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>
      <c r="A99" s="24"/>
      <c r="B99" s="62">
        <v>3</v>
      </c>
      <c r="C99" s="22"/>
      <c r="D99" s="22"/>
      <c r="E99" s="22"/>
      <c r="F99" s="99" t="s">
        <v>64</v>
      </c>
      <c r="G99" s="109">
        <f aca="true" t="shared" si="15" ref="G99:J100">G100</f>
        <v>264000</v>
      </c>
      <c r="H99" s="109">
        <f t="shared" si="15"/>
        <v>295000</v>
      </c>
      <c r="I99" s="109">
        <f t="shared" si="15"/>
        <v>139000</v>
      </c>
      <c r="J99" s="240">
        <f t="shared" si="15"/>
        <v>94000</v>
      </c>
      <c r="K99" s="109"/>
      <c r="L99" s="94"/>
      <c r="M99" s="114">
        <f>J99+K99+L99</f>
        <v>94000</v>
      </c>
    </row>
    <row r="100" spans="1:13" ht="15.75">
      <c r="A100" s="24"/>
      <c r="B100" s="62"/>
      <c r="C100" s="22"/>
      <c r="D100" s="22"/>
      <c r="E100" s="11"/>
      <c r="F100" s="8" t="s">
        <v>9</v>
      </c>
      <c r="G100" s="94">
        <f t="shared" si="15"/>
        <v>264000</v>
      </c>
      <c r="H100" s="94">
        <f t="shared" si="15"/>
        <v>295000</v>
      </c>
      <c r="I100" s="94">
        <f t="shared" si="15"/>
        <v>139000</v>
      </c>
      <c r="J100" s="241">
        <f t="shared" si="15"/>
        <v>94000</v>
      </c>
      <c r="K100" s="94"/>
      <c r="L100" s="94"/>
      <c r="M100" s="97">
        <f>J100+K100+L100</f>
        <v>94000</v>
      </c>
    </row>
    <row r="101" spans="1:13" ht="15.75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264000</v>
      </c>
      <c r="H101" s="95">
        <f>H102+H103</f>
        <v>295000</v>
      </c>
      <c r="I101" s="95">
        <f>I102+I103</f>
        <v>139000</v>
      </c>
      <c r="J101" s="242">
        <f>J102+J103</f>
        <v>94000</v>
      </c>
      <c r="K101" s="95"/>
      <c r="L101" s="95"/>
      <c r="M101" s="98">
        <f>J101+K101+L101</f>
        <v>94000</v>
      </c>
    </row>
    <row r="102" spans="1:13" ht="15.75">
      <c r="A102" s="24"/>
      <c r="B102" s="62"/>
      <c r="C102" s="22"/>
      <c r="D102" s="22"/>
      <c r="E102" s="11">
        <v>12</v>
      </c>
      <c r="F102" s="11"/>
      <c r="G102" s="95">
        <v>176000</v>
      </c>
      <c r="H102" s="95">
        <v>175000</v>
      </c>
      <c r="I102" s="95">
        <v>69000</v>
      </c>
      <c r="J102" s="242">
        <v>94000</v>
      </c>
      <c r="K102" s="95"/>
      <c r="L102" s="100"/>
      <c r="M102" s="98">
        <f>J102+K102+L102</f>
        <v>94000</v>
      </c>
    </row>
    <row r="103" spans="1:13" ht="15.75">
      <c r="A103" s="64"/>
      <c r="B103" s="65"/>
      <c r="C103" s="23"/>
      <c r="D103" s="23"/>
      <c r="E103" s="14">
        <v>13</v>
      </c>
      <c r="F103" s="14"/>
      <c r="G103" s="96">
        <v>88000</v>
      </c>
      <c r="H103" s="96">
        <v>120000</v>
      </c>
      <c r="I103" s="96">
        <v>70000</v>
      </c>
      <c r="J103" s="347">
        <v>0</v>
      </c>
      <c r="K103" s="96"/>
      <c r="L103" s="107"/>
      <c r="M103" s="36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>
      <c r="A109" s="24"/>
      <c r="B109" s="62">
        <v>4</v>
      </c>
      <c r="C109" s="22"/>
      <c r="D109" s="22"/>
      <c r="E109" s="11"/>
      <c r="F109" s="4" t="s">
        <v>65</v>
      </c>
      <c r="G109" s="109">
        <f aca="true" t="shared" si="16" ref="G109:K111">G110</f>
        <v>365000</v>
      </c>
      <c r="H109" s="109">
        <f t="shared" si="16"/>
        <v>360000</v>
      </c>
      <c r="I109" s="109">
        <f t="shared" si="16"/>
        <v>100000</v>
      </c>
      <c r="J109" s="240">
        <f t="shared" si="16"/>
        <v>475000</v>
      </c>
      <c r="K109" s="361">
        <f t="shared" si="16"/>
        <v>0</v>
      </c>
      <c r="L109" s="95"/>
      <c r="M109" s="114">
        <f>J109+K109+L109</f>
        <v>475000</v>
      </c>
    </row>
    <row r="110" spans="1:13" ht="15.75">
      <c r="A110" s="24"/>
      <c r="B110" s="62"/>
      <c r="C110" s="22"/>
      <c r="D110" s="22"/>
      <c r="E110" s="11"/>
      <c r="F110" s="8" t="s">
        <v>9</v>
      </c>
      <c r="G110" s="94">
        <f t="shared" si="16"/>
        <v>365000</v>
      </c>
      <c r="H110" s="94">
        <f t="shared" si="16"/>
        <v>360000</v>
      </c>
      <c r="I110" s="94">
        <f t="shared" si="16"/>
        <v>100000</v>
      </c>
      <c r="J110" s="241">
        <f t="shared" si="16"/>
        <v>475000</v>
      </c>
      <c r="K110" s="363">
        <f t="shared" si="16"/>
        <v>0</v>
      </c>
      <c r="L110" s="94"/>
      <c r="M110" s="97">
        <f>J110+K110+L110</f>
        <v>475000</v>
      </c>
    </row>
    <row r="111" spans="1:13" ht="15.75">
      <c r="A111" s="24"/>
      <c r="B111" s="62"/>
      <c r="C111" s="482">
        <v>2504</v>
      </c>
      <c r="D111" s="482"/>
      <c r="E111" s="11"/>
      <c r="F111" s="11" t="s">
        <v>10</v>
      </c>
      <c r="G111" s="95">
        <f>G112</f>
        <v>365000</v>
      </c>
      <c r="H111" s="95">
        <f t="shared" si="16"/>
        <v>360000</v>
      </c>
      <c r="I111" s="95">
        <f t="shared" si="16"/>
        <v>100000</v>
      </c>
      <c r="J111" s="242">
        <f>J112</f>
        <v>475000</v>
      </c>
      <c r="K111" s="365">
        <f t="shared" si="16"/>
        <v>0</v>
      </c>
      <c r="L111" s="95"/>
      <c r="M111" s="98">
        <f>J111+L111+K111</f>
        <v>475000</v>
      </c>
    </row>
    <row r="112" spans="1:13" ht="15.75">
      <c r="A112" s="64"/>
      <c r="B112" s="65"/>
      <c r="C112" s="23"/>
      <c r="D112" s="23"/>
      <c r="E112" s="14">
        <v>12</v>
      </c>
      <c r="F112" s="14"/>
      <c r="G112" s="96">
        <v>365000</v>
      </c>
      <c r="H112" s="96">
        <v>360000</v>
      </c>
      <c r="I112" s="96">
        <v>100000</v>
      </c>
      <c r="J112" s="243">
        <v>475000</v>
      </c>
      <c r="K112" s="107"/>
      <c r="L112" s="107"/>
      <c r="M112" s="108">
        <f>J112+K112+L112</f>
        <v>475000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28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29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98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31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3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</row>
    <row r="134" spans="1:13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</row>
    <row r="135" spans="1:13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</row>
    <row r="136" spans="1:13" ht="15.75" hidden="1">
      <c r="A136" s="24"/>
      <c r="B136" s="62"/>
      <c r="C136" s="22"/>
      <c r="D136" s="22"/>
      <c r="E136" s="11"/>
      <c r="F136" s="18" t="s">
        <v>50</v>
      </c>
      <c r="G136" s="95"/>
      <c r="H136" s="95"/>
      <c r="I136" s="95"/>
      <c r="J136" s="242"/>
      <c r="K136" s="104"/>
      <c r="L136" s="104"/>
      <c r="M136" s="198"/>
    </row>
    <row r="137" spans="1:13" ht="78.75" hidden="1">
      <c r="A137" s="24"/>
      <c r="B137" s="62">
        <v>34</v>
      </c>
      <c r="C137" s="22"/>
      <c r="D137" s="22"/>
      <c r="E137" s="22"/>
      <c r="F137" s="99" t="s">
        <v>64</v>
      </c>
      <c r="G137" s="109">
        <f aca="true" t="shared" si="21" ref="G137:J138">G138</f>
        <v>0</v>
      </c>
      <c r="H137" s="109">
        <f t="shared" si="21"/>
        <v>0</v>
      </c>
      <c r="I137" s="109">
        <f t="shared" si="21"/>
        <v>0</v>
      </c>
      <c r="J137" s="240">
        <f t="shared" si="21"/>
        <v>0</v>
      </c>
      <c r="K137" s="109"/>
      <c r="L137" s="94"/>
      <c r="M137" s="114">
        <f>J137+K137+L137</f>
        <v>0</v>
      </c>
    </row>
    <row r="138" spans="1:13" ht="15.75" hidden="1">
      <c r="A138" s="24"/>
      <c r="B138" s="62"/>
      <c r="C138" s="22"/>
      <c r="D138" s="22"/>
      <c r="E138" s="11"/>
      <c r="F138" s="8" t="s">
        <v>9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241">
        <f t="shared" si="21"/>
        <v>0</v>
      </c>
      <c r="K138" s="94"/>
      <c r="L138" s="94"/>
      <c r="M138" s="97">
        <f>J138+K138+L138</f>
        <v>0</v>
      </c>
    </row>
    <row r="139" spans="1:13" ht="15.75" hidden="1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0</v>
      </c>
      <c r="H139" s="95">
        <f>H140+H141</f>
        <v>0</v>
      </c>
      <c r="I139" s="95">
        <f>I140+I141</f>
        <v>0</v>
      </c>
      <c r="J139" s="242">
        <f>J140+J141</f>
        <v>0</v>
      </c>
      <c r="K139" s="95"/>
      <c r="L139" s="95"/>
      <c r="M139" s="98">
        <f>J139+K139+L139</f>
        <v>0</v>
      </c>
    </row>
    <row r="140" spans="1:13" ht="15.75" hidden="1">
      <c r="A140" s="24"/>
      <c r="B140" s="62"/>
      <c r="C140" s="22"/>
      <c r="D140" s="22"/>
      <c r="E140" s="11">
        <v>12</v>
      </c>
      <c r="F140" s="11"/>
      <c r="G140" s="95"/>
      <c r="H140" s="95"/>
      <c r="I140" s="95"/>
      <c r="J140" s="242"/>
      <c r="K140" s="95"/>
      <c r="L140" s="100"/>
      <c r="M140" s="98">
        <f>J140+K140+L140</f>
        <v>0</v>
      </c>
    </row>
    <row r="141" spans="1:13" ht="15.75" hidden="1">
      <c r="A141" s="64"/>
      <c r="B141" s="65"/>
      <c r="C141" s="23"/>
      <c r="D141" s="23"/>
      <c r="E141" s="14">
        <v>13</v>
      </c>
      <c r="F141" s="14"/>
      <c r="G141" s="96"/>
      <c r="H141" s="96"/>
      <c r="I141" s="96"/>
      <c r="J141" s="243"/>
      <c r="K141" s="96"/>
      <c r="L141" s="107"/>
      <c r="M141" s="196">
        <f>J141+K141+L141</f>
        <v>0</v>
      </c>
    </row>
    <row r="142" spans="1:13" ht="15.75" hidden="1">
      <c r="A142" s="24"/>
      <c r="B142" s="62"/>
      <c r="C142" s="22"/>
      <c r="D142" s="22"/>
      <c r="E142" s="11"/>
      <c r="F142" s="18" t="s">
        <v>50</v>
      </c>
      <c r="G142" s="95"/>
      <c r="H142" s="95"/>
      <c r="I142" s="95"/>
      <c r="J142" s="242"/>
      <c r="K142" s="95"/>
      <c r="L142" s="104"/>
      <c r="M142" s="98"/>
    </row>
    <row r="143" spans="1:13" ht="36.75" customHeight="1" hidden="1">
      <c r="A143" s="24"/>
      <c r="B143" s="62">
        <v>35</v>
      </c>
      <c r="C143" s="22"/>
      <c r="D143" s="22"/>
      <c r="E143" s="11"/>
      <c r="F143" s="4" t="s">
        <v>65</v>
      </c>
      <c r="G143" s="109">
        <f aca="true" t="shared" si="22" ref="G143:K145">G144</f>
        <v>0</v>
      </c>
      <c r="H143" s="109">
        <f t="shared" si="22"/>
        <v>0</v>
      </c>
      <c r="I143" s="109">
        <f t="shared" si="22"/>
        <v>0</v>
      </c>
      <c r="J143" s="240">
        <f t="shared" si="22"/>
        <v>0</v>
      </c>
      <c r="K143" s="109">
        <f t="shared" si="22"/>
        <v>0</v>
      </c>
      <c r="L143" s="95"/>
      <c r="M143" s="114">
        <f>J143+K143+L143</f>
        <v>0</v>
      </c>
    </row>
    <row r="144" spans="1:13" ht="15.75" hidden="1">
      <c r="A144" s="24"/>
      <c r="B144" s="62"/>
      <c r="C144" s="22"/>
      <c r="D144" s="22"/>
      <c r="E144" s="11"/>
      <c r="F144" s="8" t="s">
        <v>9</v>
      </c>
      <c r="G144" s="94">
        <f t="shared" si="22"/>
        <v>0</v>
      </c>
      <c r="H144" s="94">
        <f t="shared" si="22"/>
        <v>0</v>
      </c>
      <c r="I144" s="94">
        <f t="shared" si="22"/>
        <v>0</v>
      </c>
      <c r="J144" s="241">
        <f t="shared" si="22"/>
        <v>0</v>
      </c>
      <c r="K144" s="94">
        <f t="shared" si="22"/>
        <v>0</v>
      </c>
      <c r="L144" s="94"/>
      <c r="M144" s="97">
        <f>J144+K144+L144</f>
        <v>0</v>
      </c>
    </row>
    <row r="145" spans="1:13" ht="15.75" hidden="1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0</v>
      </c>
      <c r="H145" s="95">
        <f t="shared" si="22"/>
        <v>0</v>
      </c>
      <c r="I145" s="95">
        <f>I146</f>
        <v>0</v>
      </c>
      <c r="J145" s="242">
        <f t="shared" si="22"/>
        <v>0</v>
      </c>
      <c r="K145" s="95">
        <f t="shared" si="22"/>
        <v>0</v>
      </c>
      <c r="L145" s="95"/>
      <c r="M145" s="98">
        <f>J145+K145+L145</f>
        <v>0</v>
      </c>
    </row>
    <row r="146" spans="1:13" ht="17.25" customHeight="1" hidden="1">
      <c r="A146" s="64"/>
      <c r="B146" s="65"/>
      <c r="C146" s="23"/>
      <c r="D146" s="23"/>
      <c r="E146" s="14">
        <v>12</v>
      </c>
      <c r="F146" s="14"/>
      <c r="G146" s="96"/>
      <c r="H146" s="96"/>
      <c r="I146" s="96"/>
      <c r="J146" s="243"/>
      <c r="K146" s="96"/>
      <c r="L146" s="107"/>
      <c r="M146" s="98">
        <f>J146+K146+L146</f>
        <v>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 aca="true" t="shared" si="27" ref="G198:M198">G19+G13+G24+G30+G40+G46+G56+G62+G67+G74+G81+G88+G94+G100+G110+G115+G121+G126+G131+G138+G144+G149+G159+G165+G170+G176+G182+G187+G194+G35</f>
        <v>629000</v>
      </c>
      <c r="H198" s="251">
        <f t="shared" si="27"/>
        <v>655000</v>
      </c>
      <c r="I198" s="251">
        <f t="shared" si="27"/>
        <v>239000</v>
      </c>
      <c r="J198" s="251">
        <f t="shared" si="27"/>
        <v>569000</v>
      </c>
      <c r="K198" s="251">
        <f t="shared" si="27"/>
        <v>0</v>
      </c>
      <c r="L198" s="251">
        <f t="shared" si="27"/>
        <v>0</v>
      </c>
      <c r="M198" s="252">
        <f t="shared" si="27"/>
        <v>569000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3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629000</v>
      </c>
      <c r="H200" s="245">
        <f aca="true" t="shared" si="28" ref="H200:M200">H12+H18+H23+H29+H39+H45+H55+H61+H66+H73+H80+H87+H93+H99+H109+H114+H120+H125+H130+H137+H143+H148+H158+H164+H169+H175+H181+H186+H193</f>
        <v>655000</v>
      </c>
      <c r="I200" s="245">
        <f t="shared" si="28"/>
        <v>239000</v>
      </c>
      <c r="J200" s="245">
        <f t="shared" si="28"/>
        <v>569000</v>
      </c>
      <c r="K200" s="245">
        <f t="shared" si="28"/>
        <v>0</v>
      </c>
      <c r="L200" s="245">
        <f t="shared" si="28"/>
        <v>0</v>
      </c>
      <c r="M200" s="246">
        <f t="shared" si="28"/>
        <v>569000</v>
      </c>
    </row>
    <row r="201" spans="1:13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v>0</v>
      </c>
      <c r="H202" s="12">
        <v>0</v>
      </c>
      <c r="I202" s="12">
        <v>0</v>
      </c>
      <c r="J202" s="259">
        <v>0</v>
      </c>
      <c r="K202" s="12">
        <v>0</v>
      </c>
      <c r="L202" s="12">
        <v>0</v>
      </c>
      <c r="M202" s="81">
        <v>0</v>
      </c>
    </row>
    <row r="203" spans="1:13" ht="15.75">
      <c r="A203" s="24"/>
      <c r="B203" s="7"/>
      <c r="C203" s="8" t="s">
        <v>16</v>
      </c>
      <c r="D203" s="8"/>
      <c r="E203" s="8"/>
      <c r="F203" s="8"/>
      <c r="G203" s="9">
        <f aca="true" t="shared" si="30" ref="G203:M203">G204+G205+G206</f>
        <v>629000</v>
      </c>
      <c r="H203" s="9">
        <f t="shared" si="30"/>
        <v>655000</v>
      </c>
      <c r="I203" s="9">
        <f t="shared" si="30"/>
        <v>239000</v>
      </c>
      <c r="J203" s="238">
        <f t="shared" si="30"/>
        <v>569000</v>
      </c>
      <c r="K203" s="9">
        <f t="shared" si="30"/>
        <v>0</v>
      </c>
      <c r="L203" s="9">
        <f t="shared" si="30"/>
        <v>0</v>
      </c>
      <c r="M203" s="83">
        <f t="shared" si="30"/>
        <v>569000</v>
      </c>
    </row>
    <row r="204" spans="1:13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1" ref="G204:M204">G15+G21+G26+G32+G42+G48+G58+G64+G76+G83+G90+G96+G102+G112+G117+G123+G133+G140+G146+G161+G167+G172+G178+G189+G196+G69+G128+G151+G184+G36</f>
        <v>541000</v>
      </c>
      <c r="H204" s="12">
        <f t="shared" si="31"/>
        <v>535000</v>
      </c>
      <c r="I204" s="12">
        <f t="shared" si="31"/>
        <v>169000</v>
      </c>
      <c r="J204" s="232">
        <f t="shared" si="31"/>
        <v>569000</v>
      </c>
      <c r="K204" s="12">
        <f t="shared" si="31"/>
        <v>0</v>
      </c>
      <c r="L204" s="12">
        <f t="shared" si="31"/>
        <v>0</v>
      </c>
      <c r="M204" s="81">
        <f t="shared" si="31"/>
        <v>569000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2" ref="G205:M205">G16+G27+G43+G59+G103+G118+G141+G162+G179</f>
        <v>88000</v>
      </c>
      <c r="H205" s="12">
        <f t="shared" si="32"/>
        <v>120000</v>
      </c>
      <c r="I205" s="12">
        <f t="shared" si="32"/>
        <v>70000</v>
      </c>
      <c r="J205" s="259">
        <f t="shared" si="32"/>
        <v>0</v>
      </c>
      <c r="K205" s="12">
        <f t="shared" si="32"/>
        <v>0</v>
      </c>
      <c r="L205" s="12">
        <f t="shared" si="32"/>
        <v>0</v>
      </c>
      <c r="M205" s="81">
        <f t="shared" si="32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3" ref="G206:M206">G70+G77+G84+G134+G190</f>
        <v>0</v>
      </c>
      <c r="H206" s="15">
        <f t="shared" si="33"/>
        <v>0</v>
      </c>
      <c r="I206" s="15">
        <f t="shared" si="33"/>
        <v>0</v>
      </c>
      <c r="J206" s="260">
        <f t="shared" si="33"/>
        <v>0</v>
      </c>
      <c r="K206" s="15">
        <f t="shared" si="33"/>
        <v>0</v>
      </c>
      <c r="L206" s="15">
        <f t="shared" si="33"/>
        <v>0</v>
      </c>
      <c r="M206" s="84">
        <f t="shared" si="33"/>
        <v>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 aca="true" t="shared" si="34" ref="G208:M208">G10-G198</f>
        <v>0</v>
      </c>
      <c r="H208" s="12">
        <f t="shared" si="34"/>
        <v>0</v>
      </c>
      <c r="I208" s="12">
        <f t="shared" si="34"/>
        <v>0</v>
      </c>
      <c r="J208" s="12">
        <f t="shared" si="34"/>
        <v>0</v>
      </c>
      <c r="K208" s="12">
        <f t="shared" si="34"/>
        <v>0</v>
      </c>
      <c r="L208" s="12">
        <f t="shared" si="34"/>
        <v>0</v>
      </c>
      <c r="M208" s="12">
        <f t="shared" si="34"/>
        <v>0</v>
      </c>
    </row>
    <row r="209" spans="1:15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5" ref="H209:M209">H198-H200</f>
        <v>0</v>
      </c>
      <c r="I209" s="12">
        <f t="shared" si="35"/>
        <v>0</v>
      </c>
      <c r="J209" s="12">
        <f t="shared" si="35"/>
        <v>0</v>
      </c>
      <c r="K209" s="12">
        <f t="shared" si="35"/>
        <v>0</v>
      </c>
      <c r="L209" s="12">
        <f t="shared" si="35"/>
        <v>0</v>
      </c>
      <c r="M209" s="12">
        <f t="shared" si="35"/>
        <v>0</v>
      </c>
      <c r="N209"/>
      <c r="O209"/>
    </row>
    <row r="210" spans="7:15" ht="12.75">
      <c r="G210" s="123">
        <f aca="true" t="shared" si="36" ref="G210:M210">G200-G10</f>
        <v>0</v>
      </c>
      <c r="H210" s="123">
        <f t="shared" si="36"/>
        <v>0</v>
      </c>
      <c r="I210" s="123">
        <f t="shared" si="36"/>
        <v>0</v>
      </c>
      <c r="J210" s="123">
        <f t="shared" si="36"/>
        <v>0</v>
      </c>
      <c r="K210" s="123">
        <f t="shared" si="36"/>
        <v>0</v>
      </c>
      <c r="L210" s="123">
        <f t="shared" si="36"/>
        <v>0</v>
      </c>
      <c r="M210" s="123">
        <f t="shared" si="36"/>
        <v>0</v>
      </c>
      <c r="N210"/>
      <c r="O210"/>
    </row>
    <row r="211" spans="7:15" ht="12.75">
      <c r="G211" s="123"/>
      <c r="H211" s="123"/>
      <c r="I211" s="194"/>
      <c r="J211" s="123"/>
      <c r="K211" s="123"/>
      <c r="L211" s="123"/>
      <c r="M211" s="123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6:15" ht="15.75">
      <c r="F213" s="539"/>
      <c r="G213" s="539"/>
      <c r="H213" s="339"/>
      <c r="I213" s="340"/>
      <c r="J213" s="314"/>
      <c r="K213" s="314"/>
      <c r="N213"/>
      <c r="O213"/>
    </row>
    <row r="214" spans="6:15" ht="15.75">
      <c r="F214" s="314"/>
      <c r="G214" s="314"/>
      <c r="H214" s="341"/>
      <c r="I214" s="340"/>
      <c r="J214" s="342"/>
      <c r="K214" s="342"/>
      <c r="N214"/>
      <c r="O214"/>
    </row>
    <row r="215" spans="6:15" ht="15.75">
      <c r="F215" s="314"/>
      <c r="G215" s="314"/>
      <c r="H215" s="343"/>
      <c r="I215" s="104"/>
      <c r="J215" s="342"/>
      <c r="K215" s="314"/>
      <c r="N215"/>
      <c r="O215"/>
    </row>
    <row r="216" spans="6:15" ht="15.75">
      <c r="F216" s="314"/>
      <c r="G216" s="314"/>
      <c r="H216" s="314"/>
      <c r="I216" s="104"/>
      <c r="J216" s="314"/>
      <c r="K216" s="314"/>
      <c r="N216"/>
      <c r="O216"/>
    </row>
    <row r="217" spans="6:15" ht="15.75">
      <c r="F217" s="314"/>
      <c r="G217" s="314"/>
      <c r="H217" s="314"/>
      <c r="I217" s="292"/>
      <c r="J217" s="314"/>
      <c r="K217" s="314"/>
      <c r="N217"/>
      <c r="O217"/>
    </row>
    <row r="218" spans="9:15" ht="12.75">
      <c r="I218" s="194"/>
      <c r="N218"/>
      <c r="O218"/>
    </row>
  </sheetData>
  <sheetProtection/>
  <mergeCells count="83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M7:M8"/>
    <mergeCell ref="K8:L9"/>
    <mergeCell ref="C14:D14"/>
    <mergeCell ref="C20:D20"/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M154:M155"/>
    <mergeCell ref="C122:D122"/>
    <mergeCell ref="C127:D127"/>
    <mergeCell ref="C132:D132"/>
    <mergeCell ref="C139:D139"/>
    <mergeCell ref="C145:D145"/>
    <mergeCell ref="C150:D150"/>
    <mergeCell ref="C183:D183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C188:D188"/>
    <mergeCell ref="C195:D195"/>
    <mergeCell ref="A200:F200"/>
    <mergeCell ref="F212:G212"/>
    <mergeCell ref="F213:G213"/>
    <mergeCell ref="K155:L156"/>
    <mergeCell ref="C160:D160"/>
    <mergeCell ref="C166:D166"/>
    <mergeCell ref="C171:D171"/>
    <mergeCell ref="C177:D177"/>
  </mergeCells>
  <printOptions/>
  <pageMargins left="0.37" right="0.18" top="0.75" bottom="0.75" header="0.3" footer="0.3"/>
  <pageSetup horizontalDpi="600" verticalDpi="6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66FF"/>
  </sheetPr>
  <dimension ref="A1:Q218"/>
  <sheetViews>
    <sheetView zoomScalePageLayoutView="0" workbookViewId="0" topLeftCell="A1">
      <selection activeCell="M206" sqref="A1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7" width="15.7109375" style="0" customWidth="1"/>
    <col min="8" max="8" width="15.140625" style="0" customWidth="1"/>
    <col min="9" max="9" width="16.00390625" style="0" customWidth="1"/>
    <col min="10" max="10" width="14.00390625" style="0" customWidth="1"/>
    <col min="11" max="11" width="12.7109375" style="0" customWidth="1"/>
    <col min="12" max="12" width="9.7109375" style="0" customWidth="1"/>
    <col min="13" max="13" width="14.28125" style="0" customWidth="1"/>
    <col min="14" max="14" width="11.28125" style="217" bestFit="1" customWidth="1"/>
    <col min="15" max="15" width="14.00390625" style="194" bestFit="1" customWidth="1"/>
    <col min="16" max="16" width="16.28125" style="194" customWidth="1"/>
    <col min="17" max="17" width="15.00390625" style="194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79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18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19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911845.39</v>
      </c>
      <c r="H10" s="203">
        <f aca="true" t="shared" si="0" ref="H10:M10">H12+H18+H23+H29+H39+H45+H55+H61+H66+H73+H80+H87+H93+H99+H109+H114+H120+H125+H130+H137+H143+H148+H158+H164+H169+H175+H181+H186+H193</f>
        <v>699600</v>
      </c>
      <c r="I10" s="203">
        <f t="shared" si="0"/>
        <v>237041.47</v>
      </c>
      <c r="J10" s="203">
        <f t="shared" si="0"/>
        <v>590750</v>
      </c>
      <c r="K10" s="203">
        <f t="shared" si="0"/>
        <v>0</v>
      </c>
      <c r="L10" s="203">
        <f t="shared" si="0"/>
        <v>0</v>
      </c>
      <c r="M10" s="208">
        <f t="shared" si="0"/>
        <v>590750</v>
      </c>
    </row>
    <row r="11" spans="1:13" ht="17.25" hidden="1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  <c r="N18" s="218"/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/>
      <c r="H21" s="96"/>
      <c r="I21" s="96"/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3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/>
      <c r="H42" s="95"/>
      <c r="I42" s="95"/>
      <c r="J42" s="242"/>
      <c r="K42" s="95"/>
      <c r="L42" s="100"/>
      <c r="M42" s="98"/>
    </row>
    <row r="43" spans="1:15" ht="15.75" hidden="1">
      <c r="A43" s="64"/>
      <c r="B43" s="65"/>
      <c r="C43" s="23"/>
      <c r="D43" s="23"/>
      <c r="E43" s="14">
        <v>13</v>
      </c>
      <c r="F43" s="14"/>
      <c r="G43" s="96"/>
      <c r="H43" s="96"/>
      <c r="I43" s="96"/>
      <c r="J43" s="243"/>
      <c r="K43" s="96"/>
      <c r="L43" s="107"/>
      <c r="M43" s="196"/>
      <c r="O43" s="194">
        <f>72525025.4/1000</f>
        <v>72525.02540000001</v>
      </c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4</v>
      </c>
      <c r="C45" s="22"/>
      <c r="D45" s="22"/>
      <c r="E45" s="11"/>
      <c r="F45" s="4" t="s">
        <v>65</v>
      </c>
      <c r="G45" s="109">
        <f aca="true" t="shared" si="6" ref="G45:K46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/>
      <c r="H47" s="95"/>
      <c r="I47" s="95"/>
      <c r="J47" s="242"/>
      <c r="K47" s="95"/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>
        <v>0</v>
      </c>
      <c r="H48" s="96">
        <v>0</v>
      </c>
      <c r="I48" s="96">
        <v>0</v>
      </c>
      <c r="J48" s="243"/>
      <c r="K48" s="96"/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3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>J56</f>
        <v>0</v>
      </c>
      <c r="K55" s="109">
        <f>K56</f>
        <v>0</v>
      </c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>
        <f>K57</f>
        <v>0</v>
      </c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>
        <f>G58+G59</f>
        <v>0</v>
      </c>
      <c r="H57" s="95">
        <f>H58+H59</f>
        <v>0</v>
      </c>
      <c r="I57" s="95">
        <f>I58+I59</f>
        <v>0</v>
      </c>
      <c r="J57" s="242">
        <f>J58+J59</f>
        <v>0</v>
      </c>
      <c r="K57" s="95">
        <f>K58+K59</f>
        <v>0</v>
      </c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/>
      <c r="H58" s="95"/>
      <c r="I58" s="95"/>
      <c r="J58" s="242"/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/>
      <c r="H59" s="96"/>
      <c r="I59" s="96"/>
      <c r="J59" s="243"/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4</v>
      </c>
      <c r="C61" s="22"/>
      <c r="D61" s="22"/>
      <c r="E61" s="11"/>
      <c r="F61" s="4" t="s">
        <v>24</v>
      </c>
      <c r="G61" s="109">
        <f aca="true" t="shared" si="8" ref="G61:K63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>G63</f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>
        <f>G64</f>
        <v>0</v>
      </c>
      <c r="H63" s="95">
        <f t="shared" si="8"/>
        <v>0</v>
      </c>
      <c r="I63" s="95">
        <f t="shared" si="8"/>
        <v>0</v>
      </c>
      <c r="J63" s="242">
        <f>J64</f>
        <v>0</v>
      </c>
      <c r="K63" s="95">
        <f t="shared" si="8"/>
        <v>0</v>
      </c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/>
      <c r="H64" s="96"/>
      <c r="I64" s="96"/>
      <c r="J64" s="243"/>
      <c r="K64" s="96"/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7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6" ht="15.75" hidden="1">
      <c r="A76" s="24"/>
      <c r="B76" s="62"/>
      <c r="C76" s="26"/>
      <c r="D76" s="26"/>
      <c r="E76" s="11">
        <v>12</v>
      </c>
      <c r="F76" s="11"/>
      <c r="G76" s="95"/>
      <c r="H76" s="95"/>
      <c r="I76" s="95"/>
      <c r="J76" s="242"/>
      <c r="K76" s="95"/>
      <c r="L76" s="95"/>
      <c r="M76" s="98">
        <f t="shared" si="10"/>
        <v>0</v>
      </c>
      <c r="O76" s="194">
        <f>462402906.49/1000</f>
        <v>462402.90649</v>
      </c>
      <c r="P76" s="194">
        <f>147810034.24/1000</f>
        <v>147810.03424</v>
      </c>
    </row>
    <row r="77" spans="1:16" ht="15.75" hidden="1">
      <c r="A77" s="24"/>
      <c r="B77" s="62"/>
      <c r="C77" s="26"/>
      <c r="D77" s="26"/>
      <c r="E77" s="11">
        <v>14</v>
      </c>
      <c r="F77" s="11"/>
      <c r="G77" s="95"/>
      <c r="H77" s="95"/>
      <c r="I77" s="95"/>
      <c r="J77" s="242"/>
      <c r="K77" s="95"/>
      <c r="L77" s="95"/>
      <c r="M77" s="98">
        <f t="shared" si="10"/>
        <v>0</v>
      </c>
      <c r="O77" s="194">
        <f>2988660.02/1000</f>
        <v>2988.66002</v>
      </c>
      <c r="P77" s="194">
        <f>3892446.5/1000</f>
        <v>3892.4465</v>
      </c>
    </row>
    <row r="78" spans="1:16" ht="15.75" hidden="1">
      <c r="A78" s="64"/>
      <c r="B78" s="65"/>
      <c r="C78" s="23"/>
      <c r="D78" s="23"/>
      <c r="E78" s="14">
        <v>17</v>
      </c>
      <c r="F78" s="14"/>
      <c r="G78" s="96"/>
      <c r="H78" s="96"/>
      <c r="I78" s="96"/>
      <c r="J78" s="243"/>
      <c r="K78" s="107"/>
      <c r="L78" s="107"/>
      <c r="M78" s="196">
        <f t="shared" si="10"/>
        <v>0</v>
      </c>
      <c r="O78" s="194">
        <f>50307236.93/1000</f>
        <v>50307.23693</v>
      </c>
      <c r="P78" s="194">
        <f>15896585.8/1000</f>
        <v>15896.5858</v>
      </c>
    </row>
    <row r="79" spans="1:14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 hidden="1">
      <c r="A80" s="24"/>
      <c r="B80" s="62">
        <v>8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6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  <c r="O83" s="194">
        <f>586548956.02/1000</f>
        <v>586548.9560199999</v>
      </c>
      <c r="P83" s="194">
        <f>64824015.01/1000</f>
        <v>64824.015009999996</v>
      </c>
    </row>
    <row r="84" spans="1:16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  <c r="O84" s="194">
        <f>13819901.67/1000</f>
        <v>13819.90167</v>
      </c>
      <c r="P84" s="194">
        <f>4060189.37/1000</f>
        <v>4060.18937</v>
      </c>
    </row>
    <row r="85" spans="1:16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  <c r="N85" s="194">
        <f>(97880000+7700000)/1000</f>
        <v>105580</v>
      </c>
      <c r="O85" s="194">
        <f>74966201.95/1000</f>
        <v>74966.20195</v>
      </c>
      <c r="P85" s="194">
        <f>18093620.97/1000</f>
        <v>18093.62097</v>
      </c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9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6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  <c r="O90" s="194">
        <f>1117250988.01/1000</f>
        <v>1117250.98801</v>
      </c>
      <c r="P90" s="194">
        <f>517822407.17/1000</f>
        <v>517822.40717</v>
      </c>
    </row>
    <row r="91" spans="1:16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  <c r="O91" s="194">
        <f>118187217.7/1000</f>
        <v>118187.21770000001</v>
      </c>
      <c r="P91" s="194">
        <f>74957202.59/1000</f>
        <v>74957.20259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10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7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  <c r="O96" s="194">
        <f>512801720.89/1000</f>
        <v>512801.72089</v>
      </c>
      <c r="P96" s="194">
        <f>318563378.21/1000</f>
        <v>318563.37821</v>
      </c>
      <c r="Q96" s="220"/>
    </row>
    <row r="97" spans="1:16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  <c r="O97" s="194">
        <f>125494063.56/1000</f>
        <v>125494.06356000001</v>
      </c>
      <c r="P97" s="194">
        <f>73525587.12/1000</f>
        <v>73525.58712000001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3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4</v>
      </c>
      <c r="C109" s="22"/>
      <c r="D109" s="22"/>
      <c r="E109" s="11"/>
      <c r="F109" s="4" t="s">
        <v>65</v>
      </c>
      <c r="G109" s="109">
        <f aca="true" t="shared" si="16" ref="G109:K111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>
        <f>G112</f>
        <v>0</v>
      </c>
      <c r="H111" s="95">
        <f t="shared" si="16"/>
        <v>0</v>
      </c>
      <c r="I111" s="95">
        <f t="shared" si="16"/>
        <v>0</v>
      </c>
      <c r="J111" s="242">
        <f>J112</f>
        <v>0</v>
      </c>
      <c r="K111" s="95">
        <f t="shared" si="16"/>
        <v>0</v>
      </c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>
      <c r="A114" s="24"/>
      <c r="B114" s="62">
        <v>3</v>
      </c>
      <c r="C114" s="22"/>
      <c r="D114" s="22"/>
      <c r="E114" s="22"/>
      <c r="F114" s="99" t="s">
        <v>64</v>
      </c>
      <c r="G114" s="109">
        <f aca="true" t="shared" si="17" ref="G114:J115">G115</f>
        <v>240554</v>
      </c>
      <c r="H114" s="109">
        <f t="shared" si="17"/>
        <v>295000</v>
      </c>
      <c r="I114" s="109">
        <f t="shared" si="17"/>
        <v>125000</v>
      </c>
      <c r="J114" s="240">
        <f t="shared" si="17"/>
        <v>94000</v>
      </c>
      <c r="K114" s="109"/>
      <c r="L114" s="94"/>
      <c r="M114" s="114">
        <f>J114+K114+L114</f>
        <v>94000</v>
      </c>
    </row>
    <row r="115" spans="1:13" ht="15.75">
      <c r="A115" s="24"/>
      <c r="B115" s="62"/>
      <c r="C115" s="22"/>
      <c r="D115" s="22"/>
      <c r="E115" s="11"/>
      <c r="F115" s="8" t="s">
        <v>9</v>
      </c>
      <c r="G115" s="94">
        <f t="shared" si="17"/>
        <v>240554</v>
      </c>
      <c r="H115" s="94">
        <f t="shared" si="17"/>
        <v>295000</v>
      </c>
      <c r="I115" s="94">
        <f t="shared" si="17"/>
        <v>125000</v>
      </c>
      <c r="J115" s="241">
        <f t="shared" si="17"/>
        <v>94000</v>
      </c>
      <c r="K115" s="94"/>
      <c r="L115" s="94"/>
      <c r="M115" s="97">
        <f>J115+K115+L115</f>
        <v>94000</v>
      </c>
    </row>
    <row r="116" spans="1:13" ht="15.75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240554</v>
      </c>
      <c r="H116" s="95">
        <f>H117+H118</f>
        <v>295000</v>
      </c>
      <c r="I116" s="95">
        <f>I117+I118</f>
        <v>125000</v>
      </c>
      <c r="J116" s="242">
        <f>J117+J118</f>
        <v>94000</v>
      </c>
      <c r="K116" s="95"/>
      <c r="L116" s="95"/>
      <c r="M116" s="98">
        <f>J116+K116+L116</f>
        <v>94000</v>
      </c>
    </row>
    <row r="117" spans="1:13" ht="15.75">
      <c r="A117" s="24"/>
      <c r="B117" s="62"/>
      <c r="C117" s="22"/>
      <c r="D117" s="22"/>
      <c r="E117" s="11">
        <v>12</v>
      </c>
      <c r="F117" s="11"/>
      <c r="G117" s="95">
        <v>164554</v>
      </c>
      <c r="H117" s="95">
        <v>175000</v>
      </c>
      <c r="I117" s="95">
        <v>57000</v>
      </c>
      <c r="J117" s="242">
        <v>94000</v>
      </c>
      <c r="K117" s="95"/>
      <c r="L117" s="100"/>
      <c r="M117" s="98">
        <f>J117+K117+L117</f>
        <v>94000</v>
      </c>
    </row>
    <row r="118" spans="1:13" ht="15.75">
      <c r="A118" s="64"/>
      <c r="B118" s="65"/>
      <c r="C118" s="23"/>
      <c r="D118" s="23"/>
      <c r="E118" s="14">
        <v>13</v>
      </c>
      <c r="F118" s="14"/>
      <c r="G118" s="96">
        <v>76000</v>
      </c>
      <c r="H118" s="96">
        <v>120000</v>
      </c>
      <c r="I118" s="96">
        <v>68000</v>
      </c>
      <c r="J118" s="347">
        <v>0</v>
      </c>
      <c r="K118" s="96"/>
      <c r="L118" s="107"/>
      <c r="M118" s="196">
        <f>J118+K118+L118</f>
        <v>0</v>
      </c>
    </row>
    <row r="119" spans="1:13" ht="15.75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>
      <c r="A120" s="24"/>
      <c r="B120" s="62">
        <v>4</v>
      </c>
      <c r="C120" s="22"/>
      <c r="D120" s="22"/>
      <c r="E120" s="11"/>
      <c r="F120" s="4" t="s">
        <v>65</v>
      </c>
      <c r="G120" s="109">
        <f aca="true" t="shared" si="18" ref="G120:K122">G121</f>
        <v>365000</v>
      </c>
      <c r="H120" s="109">
        <f t="shared" si="18"/>
        <v>360000</v>
      </c>
      <c r="I120" s="109">
        <f t="shared" si="18"/>
        <v>100000</v>
      </c>
      <c r="J120" s="360">
        <f t="shared" si="18"/>
        <v>475000</v>
      </c>
      <c r="K120" s="361">
        <f t="shared" si="18"/>
        <v>0</v>
      </c>
      <c r="L120" s="365"/>
      <c r="M120" s="367">
        <f>J120+K120+L120</f>
        <v>475000</v>
      </c>
    </row>
    <row r="121" spans="1:13" ht="15.75">
      <c r="A121" s="24"/>
      <c r="B121" s="62"/>
      <c r="C121" s="22"/>
      <c r="D121" s="22"/>
      <c r="E121" s="11"/>
      <c r="F121" s="8" t="s">
        <v>9</v>
      </c>
      <c r="G121" s="94">
        <f t="shared" si="18"/>
        <v>365000</v>
      </c>
      <c r="H121" s="94">
        <f t="shared" si="18"/>
        <v>360000</v>
      </c>
      <c r="I121" s="94">
        <f t="shared" si="18"/>
        <v>100000</v>
      </c>
      <c r="J121" s="362">
        <f t="shared" si="18"/>
        <v>475000</v>
      </c>
      <c r="K121" s="363">
        <f t="shared" si="18"/>
        <v>0</v>
      </c>
      <c r="L121" s="363"/>
      <c r="M121" s="368">
        <f>J121+K121+L121</f>
        <v>475000</v>
      </c>
    </row>
    <row r="122" spans="1:13" ht="15.75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365000</v>
      </c>
      <c r="H122" s="95">
        <f t="shared" si="18"/>
        <v>360000</v>
      </c>
      <c r="I122" s="95">
        <f>I123</f>
        <v>100000</v>
      </c>
      <c r="J122" s="364">
        <f t="shared" si="18"/>
        <v>475000</v>
      </c>
      <c r="K122" s="365">
        <f t="shared" si="18"/>
        <v>0</v>
      </c>
      <c r="L122" s="365"/>
      <c r="M122" s="369">
        <f>J122+K122+L122</f>
        <v>475000</v>
      </c>
    </row>
    <row r="123" spans="1:13" ht="15.75">
      <c r="A123" s="64"/>
      <c r="B123" s="65"/>
      <c r="C123" s="23"/>
      <c r="D123" s="23"/>
      <c r="E123" s="14">
        <v>12</v>
      </c>
      <c r="F123" s="14"/>
      <c r="G123" s="96">
        <v>365000</v>
      </c>
      <c r="H123" s="96">
        <v>360000</v>
      </c>
      <c r="I123" s="96">
        <v>100000</v>
      </c>
      <c r="J123" s="347">
        <v>475000</v>
      </c>
      <c r="K123" s="370"/>
      <c r="L123" s="371"/>
      <c r="M123" s="366">
        <f>J123+K123+L123</f>
        <v>475000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372"/>
      <c r="K124" s="373"/>
      <c r="L124" s="374"/>
      <c r="M124" s="375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360"/>
      <c r="K125" s="365"/>
      <c r="L125" s="365"/>
      <c r="M125" s="367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364"/>
      <c r="K126" s="365"/>
      <c r="L126" s="365"/>
      <c r="M126" s="369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364"/>
      <c r="K127" s="365"/>
      <c r="L127" s="365"/>
      <c r="M127" s="369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347"/>
      <c r="K128" s="370"/>
      <c r="L128" s="370"/>
      <c r="M128" s="366"/>
    </row>
    <row r="129" spans="1:13" ht="15.75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364"/>
      <c r="K129" s="365"/>
      <c r="L129" s="340"/>
      <c r="M129" s="369"/>
    </row>
    <row r="130" spans="1:13" ht="54" customHeight="1">
      <c r="A130" s="24"/>
      <c r="B130" s="62">
        <v>6</v>
      </c>
      <c r="C130" s="22"/>
      <c r="D130" s="22"/>
      <c r="E130" s="11"/>
      <c r="F130" s="4" t="s">
        <v>44</v>
      </c>
      <c r="G130" s="109">
        <f aca="true" t="shared" si="19" ref="G130:L131">G131</f>
        <v>306291.39</v>
      </c>
      <c r="H130" s="109">
        <f t="shared" si="19"/>
        <v>44600</v>
      </c>
      <c r="I130" s="109">
        <f t="shared" si="19"/>
        <v>12041.47</v>
      </c>
      <c r="J130" s="240">
        <f t="shared" si="19"/>
        <v>21750</v>
      </c>
      <c r="K130" s="361">
        <f t="shared" si="19"/>
        <v>0</v>
      </c>
      <c r="L130" s="361">
        <f t="shared" si="19"/>
        <v>0</v>
      </c>
      <c r="M130" s="114">
        <f aca="true" t="shared" si="20" ref="M130:M135">J130+K130+L130</f>
        <v>21750</v>
      </c>
    </row>
    <row r="131" spans="1:13" ht="15.75">
      <c r="A131" s="24"/>
      <c r="B131" s="62"/>
      <c r="C131" s="22"/>
      <c r="D131" s="22"/>
      <c r="E131" s="11"/>
      <c r="F131" s="8" t="s">
        <v>9</v>
      </c>
      <c r="G131" s="94">
        <f t="shared" si="19"/>
        <v>306291.39</v>
      </c>
      <c r="H131" s="94">
        <f t="shared" si="19"/>
        <v>44600</v>
      </c>
      <c r="I131" s="94">
        <f t="shared" si="19"/>
        <v>12041.47</v>
      </c>
      <c r="J131" s="241">
        <f t="shared" si="19"/>
        <v>21750</v>
      </c>
      <c r="K131" s="363">
        <f t="shared" si="19"/>
        <v>0</v>
      </c>
      <c r="L131" s="363">
        <f t="shared" si="19"/>
        <v>0</v>
      </c>
      <c r="M131" s="97">
        <f t="shared" si="20"/>
        <v>21750</v>
      </c>
    </row>
    <row r="132" spans="1:13" ht="15.75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306291.39</v>
      </c>
      <c r="H132" s="95">
        <f>H135+H134+H133</f>
        <v>44600</v>
      </c>
      <c r="I132" s="95">
        <f>I135+I133+I134</f>
        <v>12041.47</v>
      </c>
      <c r="J132" s="242">
        <f>J135+J133+J134</f>
        <v>21750</v>
      </c>
      <c r="K132" s="365">
        <f>K133+K134+K135</f>
        <v>0</v>
      </c>
      <c r="L132" s="365">
        <f>L133+L134+L135</f>
        <v>0</v>
      </c>
      <c r="M132" s="98">
        <f t="shared" si="20"/>
        <v>21750</v>
      </c>
    </row>
    <row r="133" spans="1:17" ht="15.75">
      <c r="A133" s="24"/>
      <c r="B133" s="62"/>
      <c r="C133" s="26"/>
      <c r="D133" s="26"/>
      <c r="E133" s="11">
        <v>12</v>
      </c>
      <c r="F133" s="11"/>
      <c r="G133" s="95">
        <v>267382.51</v>
      </c>
      <c r="H133" s="95">
        <v>26400</v>
      </c>
      <c r="I133" s="95">
        <v>6183.88</v>
      </c>
      <c r="J133" s="242">
        <v>14230</v>
      </c>
      <c r="K133" s="365"/>
      <c r="L133" s="365"/>
      <c r="M133" s="98">
        <f t="shared" si="20"/>
        <v>14230</v>
      </c>
      <c r="N133" s="194">
        <f>267382507.32/1000</f>
        <v>267382.50732</v>
      </c>
      <c r="O133" s="194">
        <f>6183883.72/1000</f>
        <v>6183.88372</v>
      </c>
      <c r="P133" s="217">
        <f>10329470.82/1000</f>
        <v>10329.47082</v>
      </c>
      <c r="Q133" s="194">
        <f>14.23*1000000</f>
        <v>14230000</v>
      </c>
    </row>
    <row r="134" spans="1:17" ht="15.75">
      <c r="A134" s="24"/>
      <c r="B134" s="62"/>
      <c r="C134" s="26"/>
      <c r="D134" s="26"/>
      <c r="E134" s="11">
        <v>14</v>
      </c>
      <c r="F134" s="11"/>
      <c r="G134" s="95">
        <v>8704.56</v>
      </c>
      <c r="H134" s="95">
        <v>7600</v>
      </c>
      <c r="I134" s="95">
        <v>3060.51</v>
      </c>
      <c r="J134" s="242">
        <v>4000</v>
      </c>
      <c r="K134" s="95"/>
      <c r="L134" s="95"/>
      <c r="M134" s="98">
        <f t="shared" si="20"/>
        <v>4000</v>
      </c>
      <c r="N134" s="194">
        <f>8704563.05/1000</f>
        <v>8704.56305</v>
      </c>
      <c r="O134" s="194">
        <f>3060505/1000</f>
        <v>3060.505</v>
      </c>
      <c r="P134" s="217">
        <f>3612975.22/1000</f>
        <v>3612.9752200000003</v>
      </c>
      <c r="Q134" s="194">
        <f>4*1000000/1000</f>
        <v>4000</v>
      </c>
    </row>
    <row r="135" spans="1:17" ht="15.75">
      <c r="A135" s="64"/>
      <c r="B135" s="65"/>
      <c r="C135" s="23"/>
      <c r="D135" s="23"/>
      <c r="E135" s="14">
        <v>17</v>
      </c>
      <c r="F135" s="14"/>
      <c r="G135" s="96">
        <v>30204.32</v>
      </c>
      <c r="H135" s="96">
        <v>10600</v>
      </c>
      <c r="I135" s="96">
        <v>2797.08</v>
      </c>
      <c r="J135" s="243">
        <v>3520</v>
      </c>
      <c r="K135" s="107"/>
      <c r="L135" s="107"/>
      <c r="M135" s="196">
        <f t="shared" si="20"/>
        <v>3520</v>
      </c>
      <c r="N135" s="194">
        <f>30204323.79/1000</f>
        <v>30204.32379</v>
      </c>
      <c r="O135" s="194">
        <f>2797083.83/1000</f>
        <v>2797.08383</v>
      </c>
      <c r="P135" s="217">
        <f>2797083.83/1000</f>
        <v>2797.08383</v>
      </c>
      <c r="Q135" s="194">
        <f>3.52*1000000/1000</f>
        <v>3520</v>
      </c>
    </row>
    <row r="136" spans="1:13" ht="15.75" hidden="1">
      <c r="A136" s="24"/>
      <c r="B136" s="62"/>
      <c r="C136" s="22"/>
      <c r="D136" s="22"/>
      <c r="E136" s="11"/>
      <c r="F136" s="18" t="s">
        <v>50</v>
      </c>
      <c r="G136" s="95"/>
      <c r="H136" s="95"/>
      <c r="I136" s="95"/>
      <c r="J136" s="242"/>
      <c r="K136" s="104"/>
      <c r="L136" s="104"/>
      <c r="M136" s="198"/>
    </row>
    <row r="137" spans="1:13" ht="78.75" hidden="1">
      <c r="A137" s="24"/>
      <c r="B137" s="62">
        <v>34</v>
      </c>
      <c r="C137" s="22"/>
      <c r="D137" s="22"/>
      <c r="E137" s="22"/>
      <c r="F137" s="99" t="s">
        <v>64</v>
      </c>
      <c r="G137" s="109">
        <f aca="true" t="shared" si="21" ref="G137:J138">G138</f>
        <v>0</v>
      </c>
      <c r="H137" s="109">
        <f t="shared" si="21"/>
        <v>0</v>
      </c>
      <c r="I137" s="109">
        <f t="shared" si="21"/>
        <v>0</v>
      </c>
      <c r="J137" s="240">
        <f t="shared" si="21"/>
        <v>0</v>
      </c>
      <c r="K137" s="109"/>
      <c r="L137" s="94"/>
      <c r="M137" s="114">
        <f>J137+K137+L137</f>
        <v>0</v>
      </c>
    </row>
    <row r="138" spans="1:13" ht="15.75" hidden="1">
      <c r="A138" s="24"/>
      <c r="B138" s="62"/>
      <c r="C138" s="22"/>
      <c r="D138" s="22"/>
      <c r="E138" s="11"/>
      <c r="F138" s="8" t="s">
        <v>9</v>
      </c>
      <c r="G138" s="94">
        <f t="shared" si="21"/>
        <v>0</v>
      </c>
      <c r="H138" s="94">
        <f t="shared" si="21"/>
        <v>0</v>
      </c>
      <c r="I138" s="94">
        <f t="shared" si="21"/>
        <v>0</v>
      </c>
      <c r="J138" s="241">
        <f t="shared" si="21"/>
        <v>0</v>
      </c>
      <c r="K138" s="94"/>
      <c r="L138" s="94"/>
      <c r="M138" s="97">
        <f>J138+K138+L138</f>
        <v>0</v>
      </c>
    </row>
    <row r="139" spans="1:13" ht="15.75" hidden="1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0</v>
      </c>
      <c r="H139" s="95">
        <f>H140+H141</f>
        <v>0</v>
      </c>
      <c r="I139" s="95">
        <f>I140+I141</f>
        <v>0</v>
      </c>
      <c r="J139" s="242">
        <f>J140+J141</f>
        <v>0</v>
      </c>
      <c r="K139" s="95"/>
      <c r="L139" s="95"/>
      <c r="M139" s="98">
        <f>J139+K139+L139</f>
        <v>0</v>
      </c>
    </row>
    <row r="140" spans="1:13" ht="15.75" hidden="1">
      <c r="A140" s="24"/>
      <c r="B140" s="62"/>
      <c r="C140" s="22"/>
      <c r="D140" s="22"/>
      <c r="E140" s="11">
        <v>12</v>
      </c>
      <c r="F140" s="11"/>
      <c r="G140" s="95"/>
      <c r="H140" s="95"/>
      <c r="I140" s="95"/>
      <c r="J140" s="242"/>
      <c r="K140" s="95"/>
      <c r="L140" s="100"/>
      <c r="M140" s="98">
        <f>J140+K140+L140</f>
        <v>0</v>
      </c>
    </row>
    <row r="141" spans="1:13" ht="15.75" hidden="1">
      <c r="A141" s="64"/>
      <c r="B141" s="65"/>
      <c r="C141" s="23"/>
      <c r="D141" s="23"/>
      <c r="E141" s="14">
        <v>13</v>
      </c>
      <c r="F141" s="14"/>
      <c r="G141" s="96"/>
      <c r="H141" s="96"/>
      <c r="I141" s="96"/>
      <c r="J141" s="243"/>
      <c r="K141" s="96"/>
      <c r="L141" s="107"/>
      <c r="M141" s="196">
        <f>J141+K141+L141</f>
        <v>0</v>
      </c>
    </row>
    <row r="142" spans="1:13" ht="15.75" hidden="1">
      <c r="A142" s="24"/>
      <c r="B142" s="62"/>
      <c r="C142" s="22"/>
      <c r="D142" s="22"/>
      <c r="E142" s="11"/>
      <c r="F142" s="18" t="s">
        <v>50</v>
      </c>
      <c r="G142" s="95"/>
      <c r="H142" s="95"/>
      <c r="I142" s="95"/>
      <c r="J142" s="242"/>
      <c r="K142" s="95"/>
      <c r="L142" s="104"/>
      <c r="M142" s="98"/>
    </row>
    <row r="143" spans="1:13" ht="36.75" customHeight="1" hidden="1">
      <c r="A143" s="24"/>
      <c r="B143" s="62">
        <v>35</v>
      </c>
      <c r="C143" s="22"/>
      <c r="D143" s="22"/>
      <c r="E143" s="11"/>
      <c r="F143" s="4" t="s">
        <v>65</v>
      </c>
      <c r="G143" s="109">
        <f aca="true" t="shared" si="22" ref="G143:K145">G144</f>
        <v>0</v>
      </c>
      <c r="H143" s="109">
        <f t="shared" si="22"/>
        <v>0</v>
      </c>
      <c r="I143" s="109">
        <f t="shared" si="22"/>
        <v>0</v>
      </c>
      <c r="J143" s="240">
        <f t="shared" si="22"/>
        <v>0</v>
      </c>
      <c r="K143" s="109">
        <f t="shared" si="22"/>
        <v>0</v>
      </c>
      <c r="L143" s="95"/>
      <c r="M143" s="114">
        <f>J143+K143+L143</f>
        <v>0</v>
      </c>
    </row>
    <row r="144" spans="1:13" ht="15.75" hidden="1">
      <c r="A144" s="24"/>
      <c r="B144" s="62"/>
      <c r="C144" s="22"/>
      <c r="D144" s="22"/>
      <c r="E144" s="11"/>
      <c r="F144" s="8" t="s">
        <v>9</v>
      </c>
      <c r="G144" s="94">
        <f t="shared" si="22"/>
        <v>0</v>
      </c>
      <c r="H144" s="94">
        <f t="shared" si="22"/>
        <v>0</v>
      </c>
      <c r="I144" s="94">
        <f t="shared" si="22"/>
        <v>0</v>
      </c>
      <c r="J144" s="241">
        <f t="shared" si="22"/>
        <v>0</v>
      </c>
      <c r="K144" s="94">
        <f t="shared" si="22"/>
        <v>0</v>
      </c>
      <c r="L144" s="94"/>
      <c r="M144" s="97">
        <f>J144+K144+L144</f>
        <v>0</v>
      </c>
    </row>
    <row r="145" spans="1:13" ht="15.75" hidden="1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0</v>
      </c>
      <c r="H145" s="95">
        <f t="shared" si="22"/>
        <v>0</v>
      </c>
      <c r="I145" s="95">
        <f>I146</f>
        <v>0</v>
      </c>
      <c r="J145" s="242">
        <f t="shared" si="22"/>
        <v>0</v>
      </c>
      <c r="K145" s="95">
        <f t="shared" si="22"/>
        <v>0</v>
      </c>
      <c r="L145" s="95"/>
      <c r="M145" s="98">
        <f>J145+K145+L145</f>
        <v>0</v>
      </c>
    </row>
    <row r="146" spans="1:13" ht="17.25" customHeight="1" hidden="1">
      <c r="A146" s="64"/>
      <c r="B146" s="65"/>
      <c r="C146" s="23"/>
      <c r="D146" s="23"/>
      <c r="E146" s="14">
        <v>12</v>
      </c>
      <c r="F146" s="14"/>
      <c r="G146" s="96"/>
      <c r="H146" s="96"/>
      <c r="I146" s="96"/>
      <c r="J146" s="243"/>
      <c r="K146" s="96"/>
      <c r="L146" s="107"/>
      <c r="M146" s="98">
        <f>J146+K146+L146</f>
        <v>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 aca="true" t="shared" si="27" ref="G198:M198">G19+G13+G24+G30+G40+G46+G56+G62+G67+G74+G81+G88+G94+G100+G110+G115+G121+G126+G131+G138+G144+G149+G159+G165+G170+G176+G182+G187+G194+G35</f>
        <v>911845.39</v>
      </c>
      <c r="H198" s="251">
        <f t="shared" si="27"/>
        <v>699600</v>
      </c>
      <c r="I198" s="251">
        <f t="shared" si="27"/>
        <v>237041.47</v>
      </c>
      <c r="J198" s="251">
        <f t="shared" si="27"/>
        <v>590750</v>
      </c>
      <c r="K198" s="251">
        <f t="shared" si="27"/>
        <v>0</v>
      </c>
      <c r="L198" s="251">
        <f t="shared" si="27"/>
        <v>0</v>
      </c>
      <c r="M198" s="252">
        <f t="shared" si="27"/>
        <v>590750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6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911845.39</v>
      </c>
      <c r="H200" s="245">
        <f aca="true" t="shared" si="28" ref="H200:M200">H12+H18+H23+H29+H39+H45+H55+H61+H66+H73+H80+H87+H93+H99+H109+H114+H120+H125+H130+H137+H143+H148+H158+H164+H169+H175+H181+H186+H193</f>
        <v>699600</v>
      </c>
      <c r="I200" s="245">
        <f t="shared" si="28"/>
        <v>237041.47</v>
      </c>
      <c r="J200" s="245">
        <f t="shared" si="28"/>
        <v>590750</v>
      </c>
      <c r="K200" s="245">
        <f t="shared" si="28"/>
        <v>0</v>
      </c>
      <c r="L200" s="245">
        <f t="shared" si="28"/>
        <v>0</v>
      </c>
      <c r="M200" s="246">
        <f t="shared" si="28"/>
        <v>590750</v>
      </c>
      <c r="P200" s="194">
        <f>14.23*1000000</f>
        <v>14230000</v>
      </c>
    </row>
    <row r="201" spans="1:16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  <c r="P201" s="194">
        <f>P200/1000</f>
        <v>14230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v>0</v>
      </c>
      <c r="H202" s="12">
        <v>0</v>
      </c>
      <c r="I202" s="12">
        <v>0</v>
      </c>
      <c r="J202" s="259">
        <v>0</v>
      </c>
      <c r="K202" s="12">
        <v>0</v>
      </c>
      <c r="L202" s="12">
        <v>0</v>
      </c>
      <c r="M202" s="81">
        <v>0</v>
      </c>
    </row>
    <row r="203" spans="1:16" ht="15.75">
      <c r="A203" s="24"/>
      <c r="B203" s="7"/>
      <c r="C203" s="8" t="s">
        <v>16</v>
      </c>
      <c r="D203" s="8"/>
      <c r="E203" s="8"/>
      <c r="F203" s="8"/>
      <c r="G203" s="9">
        <f aca="true" t="shared" si="30" ref="G203:M203">G204+G205+G206</f>
        <v>881641.0700000001</v>
      </c>
      <c r="H203" s="9">
        <f t="shared" si="30"/>
        <v>689000</v>
      </c>
      <c r="I203" s="9">
        <f t="shared" si="30"/>
        <v>234244.39</v>
      </c>
      <c r="J203" s="238">
        <f t="shared" si="30"/>
        <v>587230</v>
      </c>
      <c r="K203" s="9">
        <f t="shared" si="30"/>
        <v>0</v>
      </c>
      <c r="L203" s="9">
        <f t="shared" si="30"/>
        <v>0</v>
      </c>
      <c r="M203" s="83">
        <f t="shared" si="30"/>
        <v>587230</v>
      </c>
      <c r="P203" s="194">
        <f>3.52*1000000</f>
        <v>3520000</v>
      </c>
    </row>
    <row r="204" spans="1:16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1" ref="G204:M204">G15+G21+G26+G32+G42+G48+G58+G64+G76+G83+G90+G96+G102+G112+G117+G123+G133+G140+G146+G161+G167+G172+G178+G189+G196+G69+G128+G151+G184+G36</f>
        <v>796936.51</v>
      </c>
      <c r="H204" s="12">
        <f t="shared" si="31"/>
        <v>561400</v>
      </c>
      <c r="I204" s="12">
        <f t="shared" si="31"/>
        <v>163183.88</v>
      </c>
      <c r="J204" s="232">
        <f t="shared" si="31"/>
        <v>583230</v>
      </c>
      <c r="K204" s="12">
        <f t="shared" si="31"/>
        <v>0</v>
      </c>
      <c r="L204" s="12">
        <f t="shared" si="31"/>
        <v>0</v>
      </c>
      <c r="M204" s="81">
        <f t="shared" si="31"/>
        <v>583230</v>
      </c>
      <c r="P204" s="194">
        <f>P203/1000</f>
        <v>3520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2" ref="G205:M205">G16+G27+G43+G59+G103+G118+G141+G162+G179</f>
        <v>76000</v>
      </c>
      <c r="H205" s="12">
        <f t="shared" si="32"/>
        <v>120000</v>
      </c>
      <c r="I205" s="12">
        <f t="shared" si="32"/>
        <v>68000</v>
      </c>
      <c r="J205" s="259">
        <f t="shared" si="32"/>
        <v>0</v>
      </c>
      <c r="K205" s="12">
        <f t="shared" si="32"/>
        <v>0</v>
      </c>
      <c r="L205" s="12">
        <f t="shared" si="32"/>
        <v>0</v>
      </c>
      <c r="M205" s="81">
        <f t="shared" si="32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3" ref="G206:M206">G70+G77+G84+G134+G190</f>
        <v>8704.56</v>
      </c>
      <c r="H206" s="15">
        <f t="shared" si="33"/>
        <v>7600</v>
      </c>
      <c r="I206" s="15">
        <f t="shared" si="33"/>
        <v>3060.51</v>
      </c>
      <c r="J206" s="260">
        <f t="shared" si="33"/>
        <v>4000</v>
      </c>
      <c r="K206" s="15">
        <f t="shared" si="33"/>
        <v>0</v>
      </c>
      <c r="L206" s="15">
        <f t="shared" si="33"/>
        <v>0</v>
      </c>
      <c r="M206" s="84">
        <f t="shared" si="33"/>
        <v>4000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 aca="true" t="shared" si="34" ref="G208:M208">G10-G198</f>
        <v>0</v>
      </c>
      <c r="H208" s="12">
        <f t="shared" si="34"/>
        <v>0</v>
      </c>
      <c r="I208" s="12">
        <f t="shared" si="34"/>
        <v>0</v>
      </c>
      <c r="J208" s="12">
        <f t="shared" si="34"/>
        <v>0</v>
      </c>
      <c r="K208" s="12">
        <f t="shared" si="34"/>
        <v>0</v>
      </c>
      <c r="L208" s="12">
        <f t="shared" si="34"/>
        <v>0</v>
      </c>
      <c r="M208" s="12">
        <f t="shared" si="34"/>
        <v>0</v>
      </c>
    </row>
    <row r="209" spans="1:15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5" ref="H209:M209">H198-H200</f>
        <v>0</v>
      </c>
      <c r="I209" s="12">
        <f t="shared" si="35"/>
        <v>0</v>
      </c>
      <c r="J209" s="12">
        <f t="shared" si="35"/>
        <v>0</v>
      </c>
      <c r="K209" s="12">
        <f t="shared" si="35"/>
        <v>0</v>
      </c>
      <c r="L209" s="12">
        <f t="shared" si="35"/>
        <v>0</v>
      </c>
      <c r="M209" s="12">
        <f t="shared" si="35"/>
        <v>0</v>
      </c>
      <c r="N209"/>
      <c r="O209"/>
    </row>
    <row r="210" spans="7:15" ht="12.75">
      <c r="G210" s="123">
        <f aca="true" t="shared" si="36" ref="G210:M210">G200-G10</f>
        <v>0</v>
      </c>
      <c r="H210" s="123">
        <f t="shared" si="36"/>
        <v>0</v>
      </c>
      <c r="I210" s="123">
        <f t="shared" si="36"/>
        <v>0</v>
      </c>
      <c r="J210" s="123">
        <f t="shared" si="36"/>
        <v>0</v>
      </c>
      <c r="K210" s="123">
        <f t="shared" si="36"/>
        <v>0</v>
      </c>
      <c r="L210" s="123">
        <f t="shared" si="36"/>
        <v>0</v>
      </c>
      <c r="M210" s="123">
        <f t="shared" si="36"/>
        <v>0</v>
      </c>
      <c r="N210"/>
      <c r="O210"/>
    </row>
    <row r="211" spans="7:15" ht="12.75">
      <c r="G211" s="123"/>
      <c r="H211" s="123"/>
      <c r="I211" s="194"/>
      <c r="J211" s="123"/>
      <c r="K211" s="123"/>
      <c r="L211" s="123"/>
      <c r="M211" s="123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6:15" ht="15.75">
      <c r="F213" s="539"/>
      <c r="G213" s="539"/>
      <c r="H213" s="339"/>
      <c r="I213" s="340"/>
      <c r="J213" s="314"/>
      <c r="K213" s="314"/>
      <c r="N213"/>
      <c r="O213"/>
    </row>
    <row r="214" spans="6:15" ht="15.75">
      <c r="F214" s="314"/>
      <c r="G214" s="314"/>
      <c r="H214" s="341"/>
      <c r="I214" s="340"/>
      <c r="J214" s="342"/>
      <c r="K214" s="342"/>
      <c r="N214"/>
      <c r="O214"/>
    </row>
    <row r="215" spans="6:15" ht="15.75">
      <c r="F215" s="314"/>
      <c r="G215" s="314"/>
      <c r="H215" s="343"/>
      <c r="I215" s="104"/>
      <c r="J215" s="342"/>
      <c r="K215" s="314"/>
      <c r="N215"/>
      <c r="O215"/>
    </row>
    <row r="216" spans="6:15" ht="15.75">
      <c r="F216" s="314"/>
      <c r="G216" s="314"/>
      <c r="H216" s="314"/>
      <c r="I216" s="104"/>
      <c r="J216" s="314"/>
      <c r="K216" s="314"/>
      <c r="N216"/>
      <c r="O216"/>
    </row>
    <row r="217" spans="6:15" ht="15.75">
      <c r="F217" s="314"/>
      <c r="G217" s="314"/>
      <c r="H217" s="314"/>
      <c r="I217" s="292"/>
      <c r="J217" s="314"/>
      <c r="K217" s="314"/>
      <c r="N217"/>
      <c r="O217"/>
    </row>
    <row r="218" spans="9:15" ht="12.75">
      <c r="I218" s="194"/>
      <c r="N218"/>
      <c r="O218"/>
    </row>
  </sheetData>
  <sheetProtection/>
  <mergeCells count="83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M7:M8"/>
    <mergeCell ref="K8:L9"/>
    <mergeCell ref="C14:D14"/>
    <mergeCell ref="C20:D20"/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M154:M155"/>
    <mergeCell ref="C122:D122"/>
    <mergeCell ref="C127:D127"/>
    <mergeCell ref="C132:D132"/>
    <mergeCell ref="C139:D139"/>
    <mergeCell ref="C145:D145"/>
    <mergeCell ref="C150:D150"/>
    <mergeCell ref="C183:D183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C188:D188"/>
    <mergeCell ref="C195:D195"/>
    <mergeCell ref="A200:F200"/>
    <mergeCell ref="F212:G212"/>
    <mergeCell ref="F213:G213"/>
    <mergeCell ref="K155:L156"/>
    <mergeCell ref="C160:D160"/>
    <mergeCell ref="C166:D166"/>
    <mergeCell ref="C171:D171"/>
    <mergeCell ref="C177:D177"/>
  </mergeCells>
  <printOptions/>
  <pageMargins left="0.17" right="0.17" top="0.48" bottom="0.37" header="0.3" footer="0.3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66FF66"/>
  </sheetPr>
  <dimension ref="A1:Q218"/>
  <sheetViews>
    <sheetView zoomScalePageLayoutView="0" workbookViewId="0" topLeftCell="A1">
      <selection activeCell="M206" sqref="A1:M206"/>
    </sheetView>
  </sheetViews>
  <sheetFormatPr defaultColWidth="9.140625" defaultRowHeight="12.75"/>
  <cols>
    <col min="1" max="1" width="3.00390625" style="0" customWidth="1"/>
    <col min="2" max="2" width="3.57421875" style="0" customWidth="1"/>
    <col min="3" max="3" width="3.140625" style="0" customWidth="1"/>
    <col min="4" max="4" width="2.57421875" style="0" customWidth="1"/>
    <col min="5" max="5" width="3.28125" style="0" customWidth="1"/>
    <col min="6" max="6" width="28.421875" style="0" customWidth="1"/>
    <col min="7" max="7" width="13.28125" style="0" customWidth="1"/>
    <col min="8" max="8" width="12.28125" style="0" customWidth="1"/>
    <col min="9" max="9" width="12.8515625" style="0" customWidth="1"/>
    <col min="10" max="11" width="11.28125" style="0" customWidth="1"/>
    <col min="12" max="12" width="8.7109375" style="0" customWidth="1"/>
    <col min="13" max="13" width="14.28125" style="0" customWidth="1"/>
    <col min="14" max="14" width="11.28125" style="217" bestFit="1" customWidth="1"/>
    <col min="15" max="15" width="14.00390625" style="194" bestFit="1" customWidth="1"/>
    <col min="16" max="16" width="16.28125" style="194" customWidth="1"/>
    <col min="17" max="17" width="15.00390625" style="0" bestFit="1" customWidth="1"/>
  </cols>
  <sheetData>
    <row r="1" spans="1:13" ht="18">
      <c r="A1" s="483" t="s">
        <v>28</v>
      </c>
      <c r="B1" s="516"/>
      <c r="C1" s="516"/>
      <c r="D1" s="516"/>
      <c r="E1" s="516"/>
      <c r="F1" s="516"/>
      <c r="G1" s="516"/>
      <c r="H1" s="516"/>
      <c r="I1" s="516"/>
      <c r="J1" s="516"/>
      <c r="K1" s="516"/>
      <c r="L1" s="516"/>
      <c r="M1" s="516"/>
    </row>
    <row r="2" spans="1:13" ht="3.75" customHeight="1">
      <c r="A2" s="516"/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</row>
    <row r="3" spans="1:13" ht="15.75" customHeight="1">
      <c r="A3" s="517" t="s">
        <v>80</v>
      </c>
      <c r="B3" s="517"/>
      <c r="C3" s="517"/>
      <c r="D3" s="517"/>
      <c r="E3" s="517"/>
      <c r="F3" s="517"/>
      <c r="G3" s="517"/>
      <c r="H3" s="517"/>
      <c r="I3" s="517"/>
      <c r="J3" s="517"/>
      <c r="K3" s="517"/>
      <c r="L3" s="517"/>
      <c r="M3" s="517"/>
    </row>
    <row r="4" spans="1:13" ht="18">
      <c r="A4" s="483" t="s">
        <v>53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</row>
    <row r="5" spans="1:13" ht="16.5" customHeight="1">
      <c r="A5" s="483" t="s">
        <v>74</v>
      </c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3"/>
      <c r="M5" s="483"/>
    </row>
    <row r="6" spans="1:13" ht="15" customHeight="1">
      <c r="A6" s="518" t="s">
        <v>11</v>
      </c>
      <c r="B6" s="518"/>
      <c r="C6" s="518"/>
      <c r="D6" s="518"/>
      <c r="E6" s="518"/>
      <c r="F6" s="518"/>
      <c r="G6" s="518"/>
      <c r="H6" s="518"/>
      <c r="I6" s="518"/>
      <c r="J6" s="518"/>
      <c r="K6" s="518"/>
      <c r="L6" s="518"/>
      <c r="M6" s="518"/>
    </row>
    <row r="7" spans="1:13" ht="33" customHeight="1">
      <c r="A7" s="519" t="s">
        <v>2</v>
      </c>
      <c r="B7" s="522" t="s">
        <v>3</v>
      </c>
      <c r="C7" s="522" t="s">
        <v>4</v>
      </c>
      <c r="D7" s="522" t="s">
        <v>5</v>
      </c>
      <c r="E7" s="522" t="s">
        <v>6</v>
      </c>
      <c r="F7" s="525" t="s">
        <v>43</v>
      </c>
      <c r="G7" s="345">
        <v>2016</v>
      </c>
      <c r="H7" s="507" t="s">
        <v>68</v>
      </c>
      <c r="I7" s="510" t="s">
        <v>69</v>
      </c>
      <c r="J7" s="507" t="s">
        <v>70</v>
      </c>
      <c r="K7" s="204">
        <v>2019</v>
      </c>
      <c r="L7" s="204">
        <v>2020</v>
      </c>
      <c r="M7" s="528" t="s">
        <v>71</v>
      </c>
    </row>
    <row r="8" spans="1:13" ht="17.25">
      <c r="A8" s="520"/>
      <c r="B8" s="523"/>
      <c r="C8" s="523"/>
      <c r="D8" s="523"/>
      <c r="E8" s="523"/>
      <c r="F8" s="526"/>
      <c r="G8" s="346" t="s">
        <v>66</v>
      </c>
      <c r="H8" s="508"/>
      <c r="I8" s="511"/>
      <c r="J8" s="508"/>
      <c r="K8" s="530" t="s">
        <v>23</v>
      </c>
      <c r="L8" s="530"/>
      <c r="M8" s="529"/>
    </row>
    <row r="9" spans="1:13" ht="27.75" customHeight="1">
      <c r="A9" s="521"/>
      <c r="B9" s="524"/>
      <c r="C9" s="524"/>
      <c r="D9" s="524"/>
      <c r="E9" s="524"/>
      <c r="F9" s="527"/>
      <c r="G9" s="229"/>
      <c r="H9" s="509"/>
      <c r="I9" s="512"/>
      <c r="J9" s="509"/>
      <c r="K9" s="531"/>
      <c r="L9" s="531"/>
      <c r="M9" s="205"/>
    </row>
    <row r="10" spans="1:13" ht="17.25">
      <c r="A10" s="199"/>
      <c r="B10" s="200"/>
      <c r="C10" s="201"/>
      <c r="D10" s="201"/>
      <c r="E10" s="201"/>
      <c r="F10" s="202" t="s">
        <v>8</v>
      </c>
      <c r="G10" s="203">
        <f>G12+G18+G23+G29+G39+G45+G55+G61+G66+G73+G80+G87+G93+G99+G109+G114+G120+G125+G130+G137+G143+G148+G158+G164+G169+G175+G181+G186+G193+G34</f>
        <v>636000</v>
      </c>
      <c r="H10" s="203">
        <f aca="true" t="shared" si="0" ref="H10:M10">H12+H18+H23+H29+H39+H45+H55+H61+H66+H73+H80+H87+H93+H99+H109+H114+H120+H125+H130+H137+H143+H148+H158+H164+H169+H175+H181+H186+H193</f>
        <v>680000</v>
      </c>
      <c r="I10" s="203">
        <f t="shared" si="0"/>
        <v>298000</v>
      </c>
      <c r="J10" s="203">
        <f t="shared" si="0"/>
        <v>573000</v>
      </c>
      <c r="K10" s="203">
        <f t="shared" si="0"/>
        <v>0</v>
      </c>
      <c r="L10" s="203">
        <f t="shared" si="0"/>
        <v>0</v>
      </c>
      <c r="M10" s="208">
        <f t="shared" si="0"/>
        <v>573000</v>
      </c>
    </row>
    <row r="11" spans="1:13" ht="17.25" hidden="1">
      <c r="A11" s="24"/>
      <c r="B11" s="62"/>
      <c r="C11" s="119"/>
      <c r="D11" s="119"/>
      <c r="E11" s="119"/>
      <c r="F11" s="195" t="s">
        <v>37</v>
      </c>
      <c r="G11" s="121"/>
      <c r="H11" s="121"/>
      <c r="I11" s="121"/>
      <c r="J11" s="239"/>
      <c r="K11" s="121"/>
      <c r="L11" s="121"/>
      <c r="M11" s="209"/>
    </row>
    <row r="12" spans="1:13" ht="77.25" customHeight="1" hidden="1">
      <c r="A12" s="24"/>
      <c r="B12" s="62">
        <v>3</v>
      </c>
      <c r="C12" s="22"/>
      <c r="D12" s="22"/>
      <c r="E12" s="22"/>
      <c r="F12" s="99" t="s">
        <v>64</v>
      </c>
      <c r="G12" s="109">
        <f aca="true" t="shared" si="1" ref="G12:J13">G13</f>
        <v>0</v>
      </c>
      <c r="H12" s="109">
        <f t="shared" si="1"/>
        <v>0</v>
      </c>
      <c r="I12" s="109">
        <f t="shared" si="1"/>
        <v>0</v>
      </c>
      <c r="J12" s="240">
        <f t="shared" si="1"/>
        <v>0</v>
      </c>
      <c r="K12" s="109"/>
      <c r="L12" s="109"/>
      <c r="M12" s="114">
        <f>J12+K12+L12</f>
        <v>0</v>
      </c>
    </row>
    <row r="13" spans="1:13" ht="15.75" hidden="1">
      <c r="A13" s="24"/>
      <c r="B13" s="62"/>
      <c r="C13" s="22"/>
      <c r="D13" s="22"/>
      <c r="E13" s="11"/>
      <c r="F13" s="8" t="s">
        <v>9</v>
      </c>
      <c r="G13" s="94">
        <f t="shared" si="1"/>
        <v>0</v>
      </c>
      <c r="H13" s="94">
        <f t="shared" si="1"/>
        <v>0</v>
      </c>
      <c r="I13" s="94">
        <f t="shared" si="1"/>
        <v>0</v>
      </c>
      <c r="J13" s="241">
        <f t="shared" si="1"/>
        <v>0</v>
      </c>
      <c r="K13" s="94"/>
      <c r="L13" s="94"/>
      <c r="M13" s="97">
        <f>J13+K13+L13</f>
        <v>0</v>
      </c>
    </row>
    <row r="14" spans="1:13" ht="15.75" hidden="1">
      <c r="A14" s="24"/>
      <c r="B14" s="62"/>
      <c r="C14" s="482">
        <v>2504</v>
      </c>
      <c r="D14" s="482"/>
      <c r="E14" s="11"/>
      <c r="F14" s="11" t="s">
        <v>10</v>
      </c>
      <c r="G14" s="95">
        <f>G15+G16</f>
        <v>0</v>
      </c>
      <c r="H14" s="95">
        <f>H15+H16</f>
        <v>0</v>
      </c>
      <c r="I14" s="95">
        <f>I15+I16</f>
        <v>0</v>
      </c>
      <c r="J14" s="242">
        <f>J15+J16</f>
        <v>0</v>
      </c>
      <c r="K14" s="95"/>
      <c r="L14" s="95"/>
      <c r="M14" s="98">
        <f>J14+K14+L14</f>
        <v>0</v>
      </c>
    </row>
    <row r="15" spans="1:13" ht="15.75" hidden="1">
      <c r="A15" s="24"/>
      <c r="B15" s="62"/>
      <c r="C15" s="22"/>
      <c r="D15" s="22"/>
      <c r="E15" s="11">
        <v>12</v>
      </c>
      <c r="F15" s="11"/>
      <c r="G15" s="95">
        <v>0</v>
      </c>
      <c r="H15" s="95">
        <v>0</v>
      </c>
      <c r="I15" s="95">
        <v>0</v>
      </c>
      <c r="J15" s="242">
        <v>0</v>
      </c>
      <c r="K15" s="100"/>
      <c r="L15" s="100"/>
      <c r="M15" s="98">
        <f>J15+K15+L15</f>
        <v>0</v>
      </c>
    </row>
    <row r="16" spans="1:13" ht="15.75" hidden="1">
      <c r="A16" s="64"/>
      <c r="B16" s="65"/>
      <c r="C16" s="23"/>
      <c r="D16" s="23"/>
      <c r="E16" s="14">
        <v>13</v>
      </c>
      <c r="F16" s="14"/>
      <c r="G16" s="96">
        <v>0</v>
      </c>
      <c r="H16" s="96">
        <v>0</v>
      </c>
      <c r="I16" s="96">
        <v>0</v>
      </c>
      <c r="J16" s="243">
        <v>0</v>
      </c>
      <c r="K16" s="107"/>
      <c r="L16" s="107"/>
      <c r="M16" s="196">
        <f>J16+K16+L16</f>
        <v>0</v>
      </c>
    </row>
    <row r="17" spans="1:13" ht="15.75" hidden="1">
      <c r="A17" s="28"/>
      <c r="B17" s="62"/>
      <c r="C17" s="22"/>
      <c r="D17" s="22"/>
      <c r="E17" s="11"/>
      <c r="F17" s="195" t="s">
        <v>37</v>
      </c>
      <c r="G17" s="95"/>
      <c r="H17" s="95"/>
      <c r="I17" s="95"/>
      <c r="J17" s="242"/>
      <c r="K17" s="104"/>
      <c r="L17" s="104"/>
      <c r="M17" s="197"/>
    </row>
    <row r="18" spans="1:14" ht="33" customHeight="1" hidden="1">
      <c r="A18" s="24"/>
      <c r="B18" s="62">
        <v>4</v>
      </c>
      <c r="C18" s="22"/>
      <c r="D18" s="22"/>
      <c r="E18" s="11"/>
      <c r="F18" s="4" t="s">
        <v>65</v>
      </c>
      <c r="G18" s="109">
        <f>G19</f>
        <v>0</v>
      </c>
      <c r="H18" s="109">
        <f>H19</f>
        <v>0</v>
      </c>
      <c r="I18" s="109">
        <f>I19</f>
        <v>0</v>
      </c>
      <c r="J18" s="240">
        <f>J19</f>
        <v>0</v>
      </c>
      <c r="K18" s="109">
        <f>K19</f>
        <v>0</v>
      </c>
      <c r="L18" s="109"/>
      <c r="M18" s="114">
        <f>K18+J18+L18</f>
        <v>0</v>
      </c>
      <c r="N18" s="218"/>
    </row>
    <row r="19" spans="1:13" ht="15.75" hidden="1">
      <c r="A19" s="24"/>
      <c r="B19" s="62"/>
      <c r="C19" s="22"/>
      <c r="D19" s="22"/>
      <c r="E19" s="11"/>
      <c r="F19" s="8" t="s">
        <v>9</v>
      </c>
      <c r="G19" s="94">
        <f aca="true" t="shared" si="2" ref="G19:J20">G20</f>
        <v>0</v>
      </c>
      <c r="H19" s="94">
        <f t="shared" si="2"/>
        <v>0</v>
      </c>
      <c r="I19" s="94">
        <f t="shared" si="2"/>
        <v>0</v>
      </c>
      <c r="J19" s="241">
        <f t="shared" si="2"/>
        <v>0</v>
      </c>
      <c r="K19" s="94">
        <f>K20</f>
        <v>0</v>
      </c>
      <c r="L19" s="94"/>
      <c r="M19" s="97">
        <f>J19+K19+L19</f>
        <v>0</v>
      </c>
    </row>
    <row r="20" spans="1:13" ht="15.75" hidden="1">
      <c r="A20" s="24"/>
      <c r="B20" s="62"/>
      <c r="C20" s="482">
        <v>2504</v>
      </c>
      <c r="D20" s="482"/>
      <c r="E20" s="11"/>
      <c r="F20" s="11" t="s">
        <v>10</v>
      </c>
      <c r="G20" s="95">
        <f t="shared" si="2"/>
        <v>0</v>
      </c>
      <c r="H20" s="95">
        <f t="shared" si="2"/>
        <v>0</v>
      </c>
      <c r="I20" s="95">
        <f t="shared" si="2"/>
        <v>0</v>
      </c>
      <c r="J20" s="242">
        <f t="shared" si="2"/>
        <v>0</v>
      </c>
      <c r="K20" s="95">
        <f>K21</f>
        <v>0</v>
      </c>
      <c r="L20" s="231"/>
      <c r="M20" s="98">
        <f>J20+K20+L20</f>
        <v>0</v>
      </c>
    </row>
    <row r="21" spans="1:13" ht="15.75" hidden="1">
      <c r="A21" s="64"/>
      <c r="B21" s="65"/>
      <c r="C21" s="23"/>
      <c r="D21" s="23"/>
      <c r="E21" s="14">
        <v>12</v>
      </c>
      <c r="F21" s="14"/>
      <c r="G21" s="96"/>
      <c r="H21" s="96"/>
      <c r="I21" s="96"/>
      <c r="J21" s="243">
        <v>0</v>
      </c>
      <c r="K21" s="96">
        <v>0</v>
      </c>
      <c r="L21" s="107"/>
      <c r="M21" s="108">
        <f>J21+K21+L21</f>
        <v>0</v>
      </c>
    </row>
    <row r="22" spans="1:13" ht="15" customHeight="1" hidden="1">
      <c r="A22" s="24"/>
      <c r="B22" s="62"/>
      <c r="C22" s="22"/>
      <c r="D22" s="22"/>
      <c r="E22" s="11"/>
      <c r="F22" s="8" t="s">
        <v>38</v>
      </c>
      <c r="G22" s="95"/>
      <c r="H22" s="95"/>
      <c r="I22" s="95"/>
      <c r="J22" s="242"/>
      <c r="K22" s="104"/>
      <c r="L22" s="104"/>
      <c r="M22" s="198"/>
    </row>
    <row r="23" spans="1:13" ht="80.25" customHeight="1" hidden="1">
      <c r="A23" s="24"/>
      <c r="B23" s="62">
        <v>4</v>
      </c>
      <c r="C23" s="22"/>
      <c r="D23" s="22"/>
      <c r="E23" s="22"/>
      <c r="F23" s="99" t="s">
        <v>64</v>
      </c>
      <c r="G23" s="109">
        <f aca="true" t="shared" si="3" ref="G23:J24">G24</f>
        <v>0</v>
      </c>
      <c r="H23" s="109">
        <f t="shared" si="3"/>
        <v>0</v>
      </c>
      <c r="I23" s="109">
        <f t="shared" si="3"/>
        <v>0</v>
      </c>
      <c r="J23" s="240">
        <f t="shared" si="3"/>
        <v>0</v>
      </c>
      <c r="K23" s="109"/>
      <c r="L23" s="94"/>
      <c r="M23" s="114">
        <f>J23+K23+L23</f>
        <v>0</v>
      </c>
    </row>
    <row r="24" spans="1:13" ht="15.75" hidden="1">
      <c r="A24" s="24"/>
      <c r="B24" s="62"/>
      <c r="C24" s="22"/>
      <c r="D24" s="22"/>
      <c r="E24" s="11"/>
      <c r="F24" s="8" t="s">
        <v>9</v>
      </c>
      <c r="G24" s="94">
        <f t="shared" si="3"/>
        <v>0</v>
      </c>
      <c r="H24" s="94">
        <f t="shared" si="3"/>
        <v>0</v>
      </c>
      <c r="I24" s="94">
        <f t="shared" si="3"/>
        <v>0</v>
      </c>
      <c r="J24" s="241">
        <f t="shared" si="3"/>
        <v>0</v>
      </c>
      <c r="K24" s="94"/>
      <c r="L24" s="94"/>
      <c r="M24" s="97">
        <f>J24+K24+L24</f>
        <v>0</v>
      </c>
    </row>
    <row r="25" spans="1:13" ht="15.75" hidden="1">
      <c r="A25" s="24"/>
      <c r="B25" s="62"/>
      <c r="C25" s="482">
        <v>2504</v>
      </c>
      <c r="D25" s="482"/>
      <c r="E25" s="11"/>
      <c r="F25" s="11" t="s">
        <v>10</v>
      </c>
      <c r="G25" s="95">
        <f>G26+G27</f>
        <v>0</v>
      </c>
      <c r="H25" s="95">
        <f>H26+H27</f>
        <v>0</v>
      </c>
      <c r="I25" s="95">
        <f>I26+I27</f>
        <v>0</v>
      </c>
      <c r="J25" s="242">
        <f>J26+J27</f>
        <v>0</v>
      </c>
      <c r="K25" s="95"/>
      <c r="L25" s="95"/>
      <c r="M25" s="98">
        <f>J25+K25+L25</f>
        <v>0</v>
      </c>
    </row>
    <row r="26" spans="1:13" ht="15.75" hidden="1">
      <c r="A26" s="24"/>
      <c r="B26" s="62"/>
      <c r="C26" s="22"/>
      <c r="D26" s="22"/>
      <c r="E26" s="11">
        <v>12</v>
      </c>
      <c r="F26" s="11"/>
      <c r="G26" s="95"/>
      <c r="H26" s="95"/>
      <c r="I26" s="95"/>
      <c r="J26" s="242"/>
      <c r="K26" s="95"/>
      <c r="L26" s="100"/>
      <c r="M26" s="98"/>
    </row>
    <row r="27" spans="1:13" ht="15.75" hidden="1">
      <c r="A27" s="64"/>
      <c r="B27" s="65"/>
      <c r="C27" s="23"/>
      <c r="D27" s="23"/>
      <c r="E27" s="14">
        <v>13</v>
      </c>
      <c r="F27" s="14"/>
      <c r="G27" s="96"/>
      <c r="H27" s="96"/>
      <c r="I27" s="96"/>
      <c r="J27" s="243"/>
      <c r="K27" s="96"/>
      <c r="L27" s="107"/>
      <c r="M27" s="196"/>
    </row>
    <row r="28" spans="1:13" ht="15.75" hidden="1">
      <c r="A28" s="24"/>
      <c r="B28" s="62"/>
      <c r="C28" s="22"/>
      <c r="D28" s="22"/>
      <c r="E28" s="11"/>
      <c r="F28" s="8" t="s">
        <v>38</v>
      </c>
      <c r="G28" s="95"/>
      <c r="H28" s="95"/>
      <c r="I28" s="95"/>
      <c r="J28" s="242"/>
      <c r="K28" s="95"/>
      <c r="L28" s="104"/>
      <c r="M28" s="98"/>
    </row>
    <row r="29" spans="1:13" ht="33.75" customHeight="1" hidden="1">
      <c r="A29" s="24"/>
      <c r="B29" s="62">
        <v>7</v>
      </c>
      <c r="C29" s="22"/>
      <c r="D29" s="22"/>
      <c r="E29" s="11"/>
      <c r="F29" s="4" t="s">
        <v>65</v>
      </c>
      <c r="G29" s="109">
        <f>G30</f>
        <v>0</v>
      </c>
      <c r="H29" s="109">
        <f aca="true" t="shared" si="4" ref="G29:K30">H30</f>
        <v>0</v>
      </c>
      <c r="I29" s="109">
        <f t="shared" si="4"/>
        <v>0</v>
      </c>
      <c r="J29" s="240">
        <f t="shared" si="4"/>
        <v>0</v>
      </c>
      <c r="K29" s="109">
        <f t="shared" si="4"/>
        <v>0</v>
      </c>
      <c r="L29" s="95"/>
      <c r="M29" s="114">
        <f>J29+K29+L29</f>
        <v>0</v>
      </c>
    </row>
    <row r="30" spans="1:13" ht="15.75" hidden="1">
      <c r="A30" s="24"/>
      <c r="B30" s="62"/>
      <c r="C30" s="22"/>
      <c r="D30" s="22"/>
      <c r="E30" s="11"/>
      <c r="F30" s="8" t="s">
        <v>9</v>
      </c>
      <c r="G30" s="94">
        <f t="shared" si="4"/>
        <v>0</v>
      </c>
      <c r="H30" s="94">
        <f t="shared" si="4"/>
        <v>0</v>
      </c>
      <c r="I30" s="94">
        <f t="shared" si="4"/>
        <v>0</v>
      </c>
      <c r="J30" s="241">
        <f t="shared" si="4"/>
        <v>0</v>
      </c>
      <c r="K30" s="94">
        <f t="shared" si="4"/>
        <v>0</v>
      </c>
      <c r="L30" s="95"/>
      <c r="M30" s="97">
        <f>J30+K30+L30</f>
        <v>0</v>
      </c>
    </row>
    <row r="31" spans="1:13" ht="15.75" hidden="1">
      <c r="A31" s="24"/>
      <c r="B31" s="62"/>
      <c r="C31" s="482">
        <v>2504</v>
      </c>
      <c r="D31" s="482"/>
      <c r="E31" s="11"/>
      <c r="F31" s="11" t="s">
        <v>10</v>
      </c>
      <c r="G31" s="95"/>
      <c r="H31" s="95"/>
      <c r="I31" s="95"/>
      <c r="J31" s="242"/>
      <c r="K31" s="95"/>
      <c r="L31" s="95"/>
      <c r="M31" s="98"/>
    </row>
    <row r="32" spans="1:13" ht="15.75" hidden="1">
      <c r="A32" s="64"/>
      <c r="B32" s="65"/>
      <c r="C32" s="23"/>
      <c r="D32" s="23"/>
      <c r="E32" s="14">
        <v>12</v>
      </c>
      <c r="F32" s="14"/>
      <c r="G32" s="96"/>
      <c r="H32" s="96"/>
      <c r="I32" s="96"/>
      <c r="J32" s="243"/>
      <c r="K32" s="96"/>
      <c r="L32" s="107"/>
      <c r="M32" s="196"/>
    </row>
    <row r="33" spans="1:13" ht="15.75" hidden="1">
      <c r="A33" s="24"/>
      <c r="B33" s="62"/>
      <c r="C33" s="22"/>
      <c r="D33" s="22"/>
      <c r="E33" s="11"/>
      <c r="F33" s="18" t="s">
        <v>38</v>
      </c>
      <c r="G33" s="95"/>
      <c r="H33" s="95"/>
      <c r="I33" s="95"/>
      <c r="J33" s="242"/>
      <c r="K33" s="104"/>
      <c r="L33" s="104"/>
      <c r="M33" s="223"/>
    </row>
    <row r="34" spans="1:13" ht="51" customHeight="1" hidden="1">
      <c r="A34" s="24"/>
      <c r="B34" s="62">
        <v>9</v>
      </c>
      <c r="C34" s="22"/>
      <c r="D34" s="22"/>
      <c r="E34" s="11"/>
      <c r="F34" s="207" t="s">
        <v>54</v>
      </c>
      <c r="G34" s="109">
        <f>G35</f>
        <v>0</v>
      </c>
      <c r="H34" s="94"/>
      <c r="I34" s="94"/>
      <c r="J34" s="241"/>
      <c r="K34" s="94"/>
      <c r="L34" s="94"/>
      <c r="M34" s="114"/>
    </row>
    <row r="35" spans="1:13" ht="15.75" hidden="1">
      <c r="A35" s="24"/>
      <c r="B35" s="62"/>
      <c r="C35" s="482">
        <v>2504</v>
      </c>
      <c r="D35" s="482"/>
      <c r="E35" s="11"/>
      <c r="F35" s="11" t="s">
        <v>10</v>
      </c>
      <c r="G35" s="94">
        <f>G37+G36</f>
        <v>0</v>
      </c>
      <c r="H35" s="94"/>
      <c r="I35" s="94"/>
      <c r="J35" s="241"/>
      <c r="K35" s="94"/>
      <c r="L35" s="94"/>
      <c r="M35" s="97"/>
    </row>
    <row r="36" spans="1:13" ht="15.75" hidden="1">
      <c r="A36" s="24"/>
      <c r="B36" s="62"/>
      <c r="C36" s="26"/>
      <c r="D36" s="26"/>
      <c r="E36" s="11">
        <v>12</v>
      </c>
      <c r="F36" s="11"/>
      <c r="G36" s="95"/>
      <c r="H36" s="95"/>
      <c r="I36" s="95"/>
      <c r="J36" s="242"/>
      <c r="K36" s="95"/>
      <c r="L36" s="95"/>
      <c r="M36" s="98"/>
    </row>
    <row r="37" spans="1:13" ht="15.75" hidden="1">
      <c r="A37" s="64"/>
      <c r="B37" s="65"/>
      <c r="C37" s="23"/>
      <c r="D37" s="23"/>
      <c r="E37" s="14">
        <v>17</v>
      </c>
      <c r="F37" s="14"/>
      <c r="G37" s="96"/>
      <c r="H37" s="96"/>
      <c r="I37" s="96"/>
      <c r="J37" s="243"/>
      <c r="K37" s="96"/>
      <c r="L37" s="96"/>
      <c r="M37" s="196"/>
    </row>
    <row r="38" spans="1:13" ht="15.75" hidden="1">
      <c r="A38" s="24"/>
      <c r="B38" s="62"/>
      <c r="C38" s="22"/>
      <c r="D38" s="22"/>
      <c r="E38" s="11"/>
      <c r="F38" s="8" t="s">
        <v>39</v>
      </c>
      <c r="G38" s="95"/>
      <c r="H38" s="95"/>
      <c r="I38" s="95"/>
      <c r="J38" s="242"/>
      <c r="K38" s="104"/>
      <c r="L38" s="104"/>
      <c r="M38" s="198"/>
    </row>
    <row r="39" spans="1:13" ht="77.25" customHeight="1" hidden="1">
      <c r="A39" s="24"/>
      <c r="B39" s="62">
        <v>3</v>
      </c>
      <c r="C39" s="22"/>
      <c r="D39" s="22"/>
      <c r="E39" s="22"/>
      <c r="F39" s="99" t="s">
        <v>64</v>
      </c>
      <c r="G39" s="109">
        <f aca="true" t="shared" si="5" ref="G39:J40">G40</f>
        <v>0</v>
      </c>
      <c r="H39" s="109">
        <f t="shared" si="5"/>
        <v>0</v>
      </c>
      <c r="I39" s="109">
        <f t="shared" si="5"/>
        <v>0</v>
      </c>
      <c r="J39" s="240">
        <f t="shared" si="5"/>
        <v>0</v>
      </c>
      <c r="K39" s="109"/>
      <c r="L39" s="94"/>
      <c r="M39" s="114">
        <f>J39+K39+L39</f>
        <v>0</v>
      </c>
    </row>
    <row r="40" spans="1:13" ht="15.75" hidden="1">
      <c r="A40" s="24"/>
      <c r="B40" s="62"/>
      <c r="C40" s="22"/>
      <c r="D40" s="22"/>
      <c r="E40" s="11"/>
      <c r="F40" s="8" t="s">
        <v>9</v>
      </c>
      <c r="G40" s="94">
        <f t="shared" si="5"/>
        <v>0</v>
      </c>
      <c r="H40" s="94">
        <f t="shared" si="5"/>
        <v>0</v>
      </c>
      <c r="I40" s="94">
        <f t="shared" si="5"/>
        <v>0</v>
      </c>
      <c r="J40" s="241">
        <f t="shared" si="5"/>
        <v>0</v>
      </c>
      <c r="K40" s="94"/>
      <c r="L40" s="94"/>
      <c r="M40" s="97">
        <f>J40+K40+L40</f>
        <v>0</v>
      </c>
    </row>
    <row r="41" spans="1:13" ht="15.75" hidden="1">
      <c r="A41" s="24"/>
      <c r="B41" s="62"/>
      <c r="C41" s="482">
        <v>2504</v>
      </c>
      <c r="D41" s="482"/>
      <c r="E41" s="11"/>
      <c r="F41" s="11" t="s">
        <v>10</v>
      </c>
      <c r="G41" s="95">
        <f>G42+G43</f>
        <v>0</v>
      </c>
      <c r="H41" s="95">
        <f>H42+H43</f>
        <v>0</v>
      </c>
      <c r="I41" s="95">
        <f>I42+I43</f>
        <v>0</v>
      </c>
      <c r="J41" s="242">
        <f>J42+J43</f>
        <v>0</v>
      </c>
      <c r="K41" s="95"/>
      <c r="L41" s="95"/>
      <c r="M41" s="98">
        <f>J41+K41+L41</f>
        <v>0</v>
      </c>
    </row>
    <row r="42" spans="1:13" ht="15.75" hidden="1">
      <c r="A42" s="24"/>
      <c r="B42" s="62"/>
      <c r="C42" s="22"/>
      <c r="D42" s="22"/>
      <c r="E42" s="11">
        <v>12</v>
      </c>
      <c r="F42" s="11"/>
      <c r="G42" s="95"/>
      <c r="H42" s="95"/>
      <c r="I42" s="95"/>
      <c r="J42" s="242"/>
      <c r="K42" s="95"/>
      <c r="L42" s="100"/>
      <c r="M42" s="98"/>
    </row>
    <row r="43" spans="1:15" ht="15.75" hidden="1">
      <c r="A43" s="64"/>
      <c r="B43" s="65"/>
      <c r="C43" s="23"/>
      <c r="D43" s="23"/>
      <c r="E43" s="14">
        <v>13</v>
      </c>
      <c r="F43" s="14"/>
      <c r="G43" s="96"/>
      <c r="H43" s="96"/>
      <c r="I43" s="96"/>
      <c r="J43" s="243"/>
      <c r="K43" s="96"/>
      <c r="L43" s="107"/>
      <c r="M43" s="196"/>
      <c r="O43" s="194">
        <f>72525025.4/1000</f>
        <v>72525.02540000001</v>
      </c>
    </row>
    <row r="44" spans="1:13" ht="15.75" hidden="1">
      <c r="A44" s="24"/>
      <c r="B44" s="62"/>
      <c r="C44" s="22"/>
      <c r="D44" s="22"/>
      <c r="E44" s="11"/>
      <c r="F44" s="8" t="s">
        <v>39</v>
      </c>
      <c r="G44" s="95"/>
      <c r="H44" s="95"/>
      <c r="I44" s="95"/>
      <c r="J44" s="242"/>
      <c r="K44" s="95"/>
      <c r="L44" s="104"/>
      <c r="M44" s="98"/>
    </row>
    <row r="45" spans="1:13" ht="30.75" customHeight="1" hidden="1">
      <c r="A45" s="24"/>
      <c r="B45" s="62">
        <v>4</v>
      </c>
      <c r="C45" s="22"/>
      <c r="D45" s="22"/>
      <c r="E45" s="11"/>
      <c r="F45" s="4" t="s">
        <v>65</v>
      </c>
      <c r="G45" s="109">
        <f aca="true" t="shared" si="6" ref="G45:K46">G46</f>
        <v>0</v>
      </c>
      <c r="H45" s="109">
        <f t="shared" si="6"/>
        <v>0</v>
      </c>
      <c r="I45" s="109">
        <f t="shared" si="6"/>
        <v>0</v>
      </c>
      <c r="J45" s="240">
        <f t="shared" si="6"/>
        <v>0</v>
      </c>
      <c r="K45" s="109">
        <f t="shared" si="6"/>
        <v>0</v>
      </c>
      <c r="L45" s="95"/>
      <c r="M45" s="114">
        <f>J45+K45+L45</f>
        <v>0</v>
      </c>
    </row>
    <row r="46" spans="1:13" ht="15.75" hidden="1">
      <c r="A46" s="24"/>
      <c r="B46" s="62"/>
      <c r="C46" s="22"/>
      <c r="D46" s="22"/>
      <c r="E46" s="11"/>
      <c r="F46" s="8" t="s">
        <v>9</v>
      </c>
      <c r="G46" s="94">
        <f t="shared" si="6"/>
        <v>0</v>
      </c>
      <c r="H46" s="94">
        <f t="shared" si="6"/>
        <v>0</v>
      </c>
      <c r="I46" s="94">
        <f t="shared" si="6"/>
        <v>0</v>
      </c>
      <c r="J46" s="241">
        <f t="shared" si="6"/>
        <v>0</v>
      </c>
      <c r="K46" s="94">
        <f t="shared" si="6"/>
        <v>0</v>
      </c>
      <c r="L46" s="94"/>
      <c r="M46" s="97">
        <f>J46+K46+L46</f>
        <v>0</v>
      </c>
    </row>
    <row r="47" spans="1:13" ht="15.75" hidden="1">
      <c r="A47" s="24"/>
      <c r="B47" s="62"/>
      <c r="C47" s="482">
        <v>2504</v>
      </c>
      <c r="D47" s="482"/>
      <c r="E47" s="11"/>
      <c r="F47" s="11" t="s">
        <v>10</v>
      </c>
      <c r="G47" s="95"/>
      <c r="H47" s="95"/>
      <c r="I47" s="95"/>
      <c r="J47" s="242"/>
      <c r="K47" s="95"/>
      <c r="L47" s="95"/>
      <c r="M47" s="98">
        <f>J47+K47+L47</f>
        <v>0</v>
      </c>
    </row>
    <row r="48" spans="1:13" ht="16.5" customHeight="1" hidden="1">
      <c r="A48" s="64"/>
      <c r="B48" s="65"/>
      <c r="C48" s="23"/>
      <c r="D48" s="23"/>
      <c r="E48" s="14">
        <v>12</v>
      </c>
      <c r="F48" s="14"/>
      <c r="G48" s="96">
        <v>0</v>
      </c>
      <c r="H48" s="96">
        <v>0</v>
      </c>
      <c r="I48" s="96">
        <v>0</v>
      </c>
      <c r="J48" s="243"/>
      <c r="K48" s="96"/>
      <c r="L48" s="107"/>
      <c r="M48" s="196">
        <f>J48+K48+L48</f>
        <v>0</v>
      </c>
    </row>
    <row r="49" spans="1:13" ht="15.75" hidden="1">
      <c r="A49" s="24"/>
      <c r="B49" s="62"/>
      <c r="C49" s="22"/>
      <c r="D49" s="22"/>
      <c r="E49" s="11"/>
      <c r="F49" s="11"/>
      <c r="G49" s="95"/>
      <c r="H49" s="95"/>
      <c r="I49" s="95"/>
      <c r="J49" s="95"/>
      <c r="K49" s="104"/>
      <c r="L49" s="104"/>
      <c r="M49" s="106"/>
    </row>
    <row r="50" spans="1:13" ht="15.75" customHeight="1" hidden="1">
      <c r="A50" s="518" t="s">
        <v>11</v>
      </c>
      <c r="B50" s="518"/>
      <c r="C50" s="518"/>
      <c r="D50" s="518"/>
      <c r="E50" s="518"/>
      <c r="F50" s="518"/>
      <c r="G50" s="518"/>
      <c r="H50" s="518"/>
      <c r="I50" s="518"/>
      <c r="J50" s="518"/>
      <c r="K50" s="518"/>
      <c r="L50" s="518"/>
      <c r="M50" s="518"/>
    </row>
    <row r="51" spans="1:13" ht="20.25" customHeight="1" hidden="1">
      <c r="A51" s="519" t="s">
        <v>2</v>
      </c>
      <c r="B51" s="522" t="s">
        <v>3</v>
      </c>
      <c r="C51" s="522" t="s">
        <v>4</v>
      </c>
      <c r="D51" s="522" t="s">
        <v>5</v>
      </c>
      <c r="E51" s="522" t="s">
        <v>6</v>
      </c>
      <c r="F51" s="525" t="s">
        <v>43</v>
      </c>
      <c r="G51" s="226">
        <v>2015</v>
      </c>
      <c r="H51" s="226">
        <v>2016</v>
      </c>
      <c r="I51" s="525" t="s">
        <v>35</v>
      </c>
      <c r="J51" s="525" t="s">
        <v>30</v>
      </c>
      <c r="K51" s="204">
        <v>2018</v>
      </c>
      <c r="L51" s="204">
        <v>2019</v>
      </c>
      <c r="M51" s="528" t="s">
        <v>36</v>
      </c>
    </row>
    <row r="52" spans="1:13" ht="20.25" customHeight="1" hidden="1">
      <c r="A52" s="520"/>
      <c r="B52" s="523"/>
      <c r="C52" s="523"/>
      <c r="D52" s="523"/>
      <c r="E52" s="523"/>
      <c r="F52" s="526"/>
      <c r="G52" s="227" t="s">
        <v>66</v>
      </c>
      <c r="H52" s="227" t="s">
        <v>22</v>
      </c>
      <c r="I52" s="526"/>
      <c r="J52" s="526"/>
      <c r="K52" s="530" t="s">
        <v>23</v>
      </c>
      <c r="L52" s="530"/>
      <c r="M52" s="529"/>
    </row>
    <row r="53" spans="1:13" ht="33.75" customHeight="1" hidden="1">
      <c r="A53" s="520"/>
      <c r="B53" s="524"/>
      <c r="C53" s="524"/>
      <c r="D53" s="524"/>
      <c r="E53" s="524"/>
      <c r="F53" s="527"/>
      <c r="G53" s="230"/>
      <c r="H53" s="228" t="s">
        <v>0</v>
      </c>
      <c r="I53" s="527"/>
      <c r="J53" s="527"/>
      <c r="K53" s="531"/>
      <c r="L53" s="531"/>
      <c r="M53" s="205"/>
    </row>
    <row r="54" spans="1:13" ht="15.75" hidden="1">
      <c r="A54" s="24"/>
      <c r="B54" s="62"/>
      <c r="C54" s="22"/>
      <c r="D54" s="22"/>
      <c r="E54" s="11"/>
      <c r="F54" s="8" t="s">
        <v>40</v>
      </c>
      <c r="G54" s="95"/>
      <c r="H54" s="95"/>
      <c r="I54" s="95"/>
      <c r="J54" s="242"/>
      <c r="K54" s="104"/>
      <c r="L54" s="104"/>
      <c r="M54" s="198"/>
    </row>
    <row r="55" spans="1:13" ht="76.5" customHeight="1" hidden="1">
      <c r="A55" s="24"/>
      <c r="B55" s="62">
        <v>3</v>
      </c>
      <c r="C55" s="22"/>
      <c r="D55" s="22"/>
      <c r="E55" s="22"/>
      <c r="F55" s="99" t="s">
        <v>64</v>
      </c>
      <c r="G55" s="109">
        <f aca="true" t="shared" si="7" ref="G55:J56">G56</f>
        <v>0</v>
      </c>
      <c r="H55" s="109">
        <f t="shared" si="7"/>
        <v>0</v>
      </c>
      <c r="I55" s="109">
        <f t="shared" si="7"/>
        <v>0</v>
      </c>
      <c r="J55" s="240">
        <f>J56</f>
        <v>0</v>
      </c>
      <c r="K55" s="109">
        <f>K56</f>
        <v>0</v>
      </c>
      <c r="L55" s="94"/>
      <c r="M55" s="114">
        <f>J55+K55+L55</f>
        <v>0</v>
      </c>
    </row>
    <row r="56" spans="1:13" ht="15.75" hidden="1">
      <c r="A56" s="24"/>
      <c r="B56" s="62"/>
      <c r="C56" s="22"/>
      <c r="D56" s="22"/>
      <c r="E56" s="11"/>
      <c r="F56" s="8" t="s">
        <v>9</v>
      </c>
      <c r="G56" s="94">
        <f t="shared" si="7"/>
        <v>0</v>
      </c>
      <c r="H56" s="94">
        <f t="shared" si="7"/>
        <v>0</v>
      </c>
      <c r="I56" s="94">
        <f t="shared" si="7"/>
        <v>0</v>
      </c>
      <c r="J56" s="241">
        <f t="shared" si="7"/>
        <v>0</v>
      </c>
      <c r="K56" s="94">
        <f>K57</f>
        <v>0</v>
      </c>
      <c r="L56" s="94"/>
      <c r="M56" s="97">
        <f>J56+K56+L56</f>
        <v>0</v>
      </c>
    </row>
    <row r="57" spans="1:13" ht="15.75" hidden="1">
      <c r="A57" s="24"/>
      <c r="B57" s="62"/>
      <c r="C57" s="482">
        <v>2504</v>
      </c>
      <c r="D57" s="482"/>
      <c r="E57" s="11"/>
      <c r="F57" s="11" t="s">
        <v>10</v>
      </c>
      <c r="G57" s="95">
        <f>G58+G59</f>
        <v>0</v>
      </c>
      <c r="H57" s="95">
        <f>H58+H59</f>
        <v>0</v>
      </c>
      <c r="I57" s="95">
        <f>I58+I59</f>
        <v>0</v>
      </c>
      <c r="J57" s="242">
        <f>J58+J59</f>
        <v>0</v>
      </c>
      <c r="K57" s="95">
        <f>K58+K59</f>
        <v>0</v>
      </c>
      <c r="L57" s="95"/>
      <c r="M57" s="98">
        <f>J57+K57+L57</f>
        <v>0</v>
      </c>
    </row>
    <row r="58" spans="1:13" ht="15.75" hidden="1">
      <c r="A58" s="24"/>
      <c r="B58" s="62"/>
      <c r="C58" s="22"/>
      <c r="D58" s="22"/>
      <c r="E58" s="11">
        <v>12</v>
      </c>
      <c r="F58" s="11"/>
      <c r="G58" s="95"/>
      <c r="H58" s="95"/>
      <c r="I58" s="95"/>
      <c r="J58" s="242"/>
      <c r="K58" s="95"/>
      <c r="L58" s="100"/>
      <c r="M58" s="98">
        <f>J58+K58+L58</f>
        <v>0</v>
      </c>
    </row>
    <row r="59" spans="1:13" ht="15.75" hidden="1">
      <c r="A59" s="64"/>
      <c r="B59" s="65"/>
      <c r="C59" s="23"/>
      <c r="D59" s="23"/>
      <c r="E59" s="14">
        <v>13</v>
      </c>
      <c r="F59" s="14"/>
      <c r="G59" s="96"/>
      <c r="H59" s="96"/>
      <c r="I59" s="96"/>
      <c r="J59" s="243"/>
      <c r="K59" s="96"/>
      <c r="L59" s="107"/>
      <c r="M59" s="196">
        <f>J59+K59+L59</f>
        <v>0</v>
      </c>
    </row>
    <row r="60" spans="1:13" ht="15.75" hidden="1">
      <c r="A60" s="24"/>
      <c r="B60" s="62"/>
      <c r="C60" s="22"/>
      <c r="D60" s="22"/>
      <c r="E60" s="11"/>
      <c r="F60" s="8" t="s">
        <v>40</v>
      </c>
      <c r="G60" s="95"/>
      <c r="H60" s="95"/>
      <c r="I60" s="95"/>
      <c r="J60" s="242"/>
      <c r="K60" s="95"/>
      <c r="L60" s="104"/>
      <c r="M60" s="98"/>
    </row>
    <row r="61" spans="1:13" ht="32.25" hidden="1">
      <c r="A61" s="24"/>
      <c r="B61" s="62">
        <v>4</v>
      </c>
      <c r="C61" s="22"/>
      <c r="D61" s="22"/>
      <c r="E61" s="11"/>
      <c r="F61" s="4" t="s">
        <v>24</v>
      </c>
      <c r="G61" s="109">
        <f aca="true" t="shared" si="8" ref="G61:K63">G62</f>
        <v>0</v>
      </c>
      <c r="H61" s="109">
        <f t="shared" si="8"/>
        <v>0</v>
      </c>
      <c r="I61" s="109">
        <f t="shared" si="8"/>
        <v>0</v>
      </c>
      <c r="J61" s="240">
        <f t="shared" si="8"/>
        <v>0</v>
      </c>
      <c r="K61" s="109">
        <f t="shared" si="8"/>
        <v>0</v>
      </c>
      <c r="L61" s="95"/>
      <c r="M61" s="114">
        <f>J61+K61+L61</f>
        <v>0</v>
      </c>
    </row>
    <row r="62" spans="1:13" ht="15.75" hidden="1">
      <c r="A62" s="24"/>
      <c r="B62" s="62"/>
      <c r="C62" s="22"/>
      <c r="D62" s="22"/>
      <c r="E62" s="11"/>
      <c r="F62" s="8" t="s">
        <v>9</v>
      </c>
      <c r="G62" s="94">
        <f>G63</f>
        <v>0</v>
      </c>
      <c r="H62" s="94">
        <f t="shared" si="8"/>
        <v>0</v>
      </c>
      <c r="I62" s="94">
        <f t="shared" si="8"/>
        <v>0</v>
      </c>
      <c r="J62" s="241">
        <f t="shared" si="8"/>
        <v>0</v>
      </c>
      <c r="K62" s="94">
        <f t="shared" si="8"/>
        <v>0</v>
      </c>
      <c r="L62" s="95"/>
      <c r="M62" s="97">
        <f>J62+K62+L62</f>
        <v>0</v>
      </c>
    </row>
    <row r="63" spans="1:13" ht="15.75" hidden="1">
      <c r="A63" s="24"/>
      <c r="B63" s="62"/>
      <c r="C63" s="482">
        <v>2504</v>
      </c>
      <c r="D63" s="482"/>
      <c r="E63" s="11"/>
      <c r="F63" s="11" t="s">
        <v>10</v>
      </c>
      <c r="G63" s="95">
        <f>G64</f>
        <v>0</v>
      </c>
      <c r="H63" s="95">
        <f t="shared" si="8"/>
        <v>0</v>
      </c>
      <c r="I63" s="95">
        <f t="shared" si="8"/>
        <v>0</v>
      </c>
      <c r="J63" s="242">
        <f>J64</f>
        <v>0</v>
      </c>
      <c r="K63" s="95">
        <f t="shared" si="8"/>
        <v>0</v>
      </c>
      <c r="L63" s="95"/>
      <c r="M63" s="98">
        <f>J63+K63+L63</f>
        <v>0</v>
      </c>
    </row>
    <row r="64" spans="1:13" ht="15.75" hidden="1">
      <c r="A64" s="64"/>
      <c r="B64" s="65"/>
      <c r="C64" s="23"/>
      <c r="D64" s="23"/>
      <c r="E64" s="14">
        <v>12</v>
      </c>
      <c r="F64" s="14"/>
      <c r="G64" s="96"/>
      <c r="H64" s="96"/>
      <c r="I64" s="96"/>
      <c r="J64" s="243"/>
      <c r="K64" s="96"/>
      <c r="L64" s="107"/>
      <c r="M64" s="196">
        <f>J64+K64+L64</f>
        <v>0</v>
      </c>
    </row>
    <row r="65" spans="1:13" ht="20.25" customHeight="1" hidden="1">
      <c r="A65" s="24"/>
      <c r="B65" s="62"/>
      <c r="C65" s="22"/>
      <c r="D65" s="22"/>
      <c r="E65" s="11"/>
      <c r="F65" s="8" t="s">
        <v>40</v>
      </c>
      <c r="G65" s="95"/>
      <c r="H65" s="95"/>
      <c r="I65" s="95"/>
      <c r="J65" s="242"/>
      <c r="K65" s="95"/>
      <c r="L65" s="104"/>
      <c r="M65" s="98"/>
    </row>
    <row r="66" spans="1:13" ht="46.5" customHeight="1" hidden="1">
      <c r="A66" s="24"/>
      <c r="B66" s="62">
        <v>18</v>
      </c>
      <c r="C66" s="22"/>
      <c r="D66" s="22"/>
      <c r="E66" s="11"/>
      <c r="F66" s="4" t="s">
        <v>42</v>
      </c>
      <c r="G66" s="109">
        <f>G67</f>
        <v>0</v>
      </c>
      <c r="H66" s="109"/>
      <c r="I66" s="109"/>
      <c r="J66" s="240"/>
      <c r="K66" s="95"/>
      <c r="L66" s="95"/>
      <c r="M66" s="114">
        <f>M67</f>
        <v>0</v>
      </c>
    </row>
    <row r="67" spans="1:13" ht="15.75" hidden="1">
      <c r="A67" s="24"/>
      <c r="B67" s="62"/>
      <c r="C67" s="22"/>
      <c r="D67" s="22"/>
      <c r="E67" s="11"/>
      <c r="F67" s="8" t="s">
        <v>9</v>
      </c>
      <c r="G67" s="94">
        <f>G68</f>
        <v>0</v>
      </c>
      <c r="H67" s="94"/>
      <c r="I67" s="94"/>
      <c r="J67" s="241"/>
      <c r="K67" s="94"/>
      <c r="L67" s="94"/>
      <c r="M67" s="97">
        <f>J67+K67+L67</f>
        <v>0</v>
      </c>
    </row>
    <row r="68" spans="1:13" ht="15.75" hidden="1">
      <c r="A68" s="24"/>
      <c r="B68" s="62"/>
      <c r="C68" s="482">
        <v>2504</v>
      </c>
      <c r="D68" s="482"/>
      <c r="E68" s="11"/>
      <c r="F68" s="11" t="s">
        <v>10</v>
      </c>
      <c r="G68" s="95">
        <f>G71+G70+G69</f>
        <v>0</v>
      </c>
      <c r="H68" s="95"/>
      <c r="I68" s="95"/>
      <c r="J68" s="242"/>
      <c r="K68" s="95"/>
      <c r="L68" s="95"/>
      <c r="M68" s="98">
        <f>J68+L68+K68</f>
        <v>0</v>
      </c>
    </row>
    <row r="69" spans="1:13" ht="15.75" hidden="1">
      <c r="A69" s="24"/>
      <c r="B69" s="62"/>
      <c r="C69" s="26"/>
      <c r="D69" s="26"/>
      <c r="E69" s="11">
        <v>12</v>
      </c>
      <c r="F69" s="11"/>
      <c r="G69" s="95"/>
      <c r="H69" s="95"/>
      <c r="I69" s="95"/>
      <c r="J69" s="242"/>
      <c r="K69" s="95"/>
      <c r="L69" s="95"/>
      <c r="M69" s="98">
        <f>J69+L69+K69</f>
        <v>0</v>
      </c>
    </row>
    <row r="70" spans="1:13" ht="15.75" hidden="1">
      <c r="A70" s="24"/>
      <c r="B70" s="62"/>
      <c r="C70" s="26"/>
      <c r="D70" s="26"/>
      <c r="E70" s="11">
        <v>14</v>
      </c>
      <c r="F70" s="11"/>
      <c r="G70" s="95"/>
      <c r="H70" s="95"/>
      <c r="I70" s="95"/>
      <c r="J70" s="242"/>
      <c r="K70" s="95"/>
      <c r="L70" s="95"/>
      <c r="M70" s="98">
        <f>J70+L70+K70</f>
        <v>0</v>
      </c>
    </row>
    <row r="71" spans="1:13" ht="15.75" hidden="1">
      <c r="A71" s="64"/>
      <c r="B71" s="65"/>
      <c r="C71" s="23"/>
      <c r="D71" s="23"/>
      <c r="E71" s="14">
        <v>17</v>
      </c>
      <c r="F71" s="14"/>
      <c r="G71" s="96"/>
      <c r="H71" s="96"/>
      <c r="I71" s="96"/>
      <c r="J71" s="243"/>
      <c r="K71" s="107"/>
      <c r="L71" s="107"/>
      <c r="M71" s="196">
        <f>J71+L71+K71</f>
        <v>0</v>
      </c>
    </row>
    <row r="72" spans="1:13" ht="14.25" customHeight="1" hidden="1">
      <c r="A72" s="24"/>
      <c r="B72" s="62"/>
      <c r="C72" s="22"/>
      <c r="D72" s="22"/>
      <c r="E72" s="11"/>
      <c r="F72" s="8" t="s">
        <v>40</v>
      </c>
      <c r="G72" s="95"/>
      <c r="H72" s="95"/>
      <c r="I72" s="95"/>
      <c r="J72" s="242"/>
      <c r="K72" s="95"/>
      <c r="L72" s="104"/>
      <c r="M72" s="98"/>
    </row>
    <row r="73" spans="1:13" ht="32.25" hidden="1">
      <c r="A73" s="24"/>
      <c r="B73" s="62">
        <v>7</v>
      </c>
      <c r="C73" s="22"/>
      <c r="D73" s="22"/>
      <c r="E73" s="11"/>
      <c r="F73" s="4" t="s">
        <v>41</v>
      </c>
      <c r="G73" s="109">
        <f aca="true" t="shared" si="9" ref="G73:I74">G74</f>
        <v>0</v>
      </c>
      <c r="H73" s="109">
        <f t="shared" si="9"/>
        <v>0</v>
      </c>
      <c r="I73" s="109">
        <f t="shared" si="9"/>
        <v>0</v>
      </c>
      <c r="J73" s="240">
        <f>J74</f>
        <v>0</v>
      </c>
      <c r="K73" s="95"/>
      <c r="L73" s="95"/>
      <c r="M73" s="114">
        <f aca="true" t="shared" si="10" ref="M73:M78">J73+K73+L73</f>
        <v>0</v>
      </c>
    </row>
    <row r="74" spans="1:13" ht="15.75" hidden="1">
      <c r="A74" s="24"/>
      <c r="B74" s="62"/>
      <c r="C74" s="22"/>
      <c r="D74" s="22"/>
      <c r="E74" s="11"/>
      <c r="F74" s="8" t="s">
        <v>9</v>
      </c>
      <c r="G74" s="94">
        <f t="shared" si="9"/>
        <v>0</v>
      </c>
      <c r="H74" s="94">
        <f t="shared" si="9"/>
        <v>0</v>
      </c>
      <c r="I74" s="94">
        <f t="shared" si="9"/>
        <v>0</v>
      </c>
      <c r="J74" s="241">
        <f>J75</f>
        <v>0</v>
      </c>
      <c r="K74" s="94"/>
      <c r="L74" s="94"/>
      <c r="M74" s="97">
        <f t="shared" si="10"/>
        <v>0</v>
      </c>
    </row>
    <row r="75" spans="1:13" ht="15.75" hidden="1">
      <c r="A75" s="24"/>
      <c r="B75" s="62"/>
      <c r="C75" s="482">
        <v>2504</v>
      </c>
      <c r="D75" s="482"/>
      <c r="E75" s="11"/>
      <c r="F75" s="11" t="s">
        <v>10</v>
      </c>
      <c r="G75" s="95">
        <f>G78+G77+G76</f>
        <v>0</v>
      </c>
      <c r="H75" s="95">
        <f>H78+H77+H76</f>
        <v>0</v>
      </c>
      <c r="I75" s="95">
        <f>I78+I77+I76</f>
        <v>0</v>
      </c>
      <c r="J75" s="242">
        <f>J76+J77+J78</f>
        <v>0</v>
      </c>
      <c r="K75" s="95"/>
      <c r="L75" s="95"/>
      <c r="M75" s="98">
        <f t="shared" si="10"/>
        <v>0</v>
      </c>
    </row>
    <row r="76" spans="1:16" ht="15.75" hidden="1">
      <c r="A76" s="24"/>
      <c r="B76" s="62"/>
      <c r="C76" s="26"/>
      <c r="D76" s="26"/>
      <c r="E76" s="11">
        <v>12</v>
      </c>
      <c r="F76" s="11"/>
      <c r="G76" s="95"/>
      <c r="H76" s="95"/>
      <c r="I76" s="95"/>
      <c r="J76" s="242"/>
      <c r="K76" s="95"/>
      <c r="L76" s="95"/>
      <c r="M76" s="98">
        <f t="shared" si="10"/>
        <v>0</v>
      </c>
      <c r="O76" s="194">
        <f>462402906.49/1000</f>
        <v>462402.90649</v>
      </c>
      <c r="P76" s="194">
        <f>147810034.24/1000</f>
        <v>147810.03424</v>
      </c>
    </row>
    <row r="77" spans="1:16" ht="15.75" hidden="1">
      <c r="A77" s="24"/>
      <c r="B77" s="62"/>
      <c r="C77" s="26"/>
      <c r="D77" s="26"/>
      <c r="E77" s="11">
        <v>14</v>
      </c>
      <c r="F77" s="11"/>
      <c r="G77" s="95"/>
      <c r="H77" s="95"/>
      <c r="I77" s="95"/>
      <c r="J77" s="242"/>
      <c r="K77" s="95"/>
      <c r="L77" s="95"/>
      <c r="M77" s="98">
        <f t="shared" si="10"/>
        <v>0</v>
      </c>
      <c r="O77" s="194">
        <f>2988660.02/1000</f>
        <v>2988.66002</v>
      </c>
      <c r="P77" s="194">
        <f>3892446.5/1000</f>
        <v>3892.4465</v>
      </c>
    </row>
    <row r="78" spans="1:17" ht="15.75" hidden="1">
      <c r="A78" s="64"/>
      <c r="B78" s="65"/>
      <c r="C78" s="23"/>
      <c r="D78" s="23"/>
      <c r="E78" s="14">
        <v>17</v>
      </c>
      <c r="F78" s="14"/>
      <c r="G78" s="96"/>
      <c r="H78" s="96"/>
      <c r="I78" s="96"/>
      <c r="J78" s="243"/>
      <c r="K78" s="107"/>
      <c r="L78" s="107"/>
      <c r="M78" s="196">
        <f t="shared" si="10"/>
        <v>0</v>
      </c>
      <c r="O78" s="194">
        <f>50307236.93/1000</f>
        <v>50307.23693</v>
      </c>
      <c r="P78" s="194">
        <f>15896585.8/1000</f>
        <v>15896.5858</v>
      </c>
      <c r="Q78" s="194"/>
    </row>
    <row r="79" spans="1:14" ht="15" customHeight="1" hidden="1">
      <c r="A79" s="24"/>
      <c r="B79" s="62"/>
      <c r="C79" s="22"/>
      <c r="D79" s="22"/>
      <c r="E79" s="11"/>
      <c r="F79" s="8" t="s">
        <v>40</v>
      </c>
      <c r="G79" s="95"/>
      <c r="H79" s="95"/>
      <c r="I79" s="95"/>
      <c r="J79" s="242"/>
      <c r="K79" s="95"/>
      <c r="L79" s="104"/>
      <c r="M79" s="98"/>
      <c r="N79" s="219"/>
    </row>
    <row r="80" spans="1:13" ht="45.75" customHeight="1" hidden="1">
      <c r="A80" s="24"/>
      <c r="B80" s="62">
        <v>8</v>
      </c>
      <c r="C80" s="22"/>
      <c r="D80" s="22"/>
      <c r="E80" s="11"/>
      <c r="F80" s="4" t="s">
        <v>44</v>
      </c>
      <c r="G80" s="109">
        <f aca="true" t="shared" si="11" ref="G80:I81">G81</f>
        <v>0</v>
      </c>
      <c r="H80" s="109">
        <f t="shared" si="11"/>
        <v>0</v>
      </c>
      <c r="I80" s="109">
        <f t="shared" si="11"/>
        <v>0</v>
      </c>
      <c r="J80" s="240">
        <f>J81</f>
        <v>0</v>
      </c>
      <c r="K80" s="109">
        <f>K81</f>
        <v>0</v>
      </c>
      <c r="L80" s="109"/>
      <c r="M80" s="114">
        <f aca="true" t="shared" si="12" ref="M80:M85">J80+K80+L80</f>
        <v>0</v>
      </c>
    </row>
    <row r="81" spans="1:13" ht="15.75" hidden="1">
      <c r="A81" s="24"/>
      <c r="B81" s="62"/>
      <c r="C81" s="22"/>
      <c r="D81" s="22"/>
      <c r="E81" s="11"/>
      <c r="F81" s="8" t="s">
        <v>9</v>
      </c>
      <c r="G81" s="94">
        <f t="shared" si="11"/>
        <v>0</v>
      </c>
      <c r="H81" s="94">
        <f t="shared" si="11"/>
        <v>0</v>
      </c>
      <c r="I81" s="94">
        <f t="shared" si="11"/>
        <v>0</v>
      </c>
      <c r="J81" s="241">
        <f>J82</f>
        <v>0</v>
      </c>
      <c r="K81" s="94">
        <f>K82</f>
        <v>0</v>
      </c>
      <c r="L81" s="94"/>
      <c r="M81" s="97">
        <f t="shared" si="12"/>
        <v>0</v>
      </c>
    </row>
    <row r="82" spans="1:13" ht="15.75" hidden="1">
      <c r="A82" s="24"/>
      <c r="B82" s="62"/>
      <c r="C82" s="482">
        <v>2504</v>
      </c>
      <c r="D82" s="482"/>
      <c r="E82" s="11"/>
      <c r="F82" s="11" t="s">
        <v>10</v>
      </c>
      <c r="G82" s="95">
        <f>G85+G84+G83</f>
        <v>0</v>
      </c>
      <c r="H82" s="95">
        <f>H85+H84+H83</f>
        <v>0</v>
      </c>
      <c r="I82" s="95">
        <f>I85+I84+I83</f>
        <v>0</v>
      </c>
      <c r="J82" s="242">
        <f>J85+J83+J84</f>
        <v>0</v>
      </c>
      <c r="K82" s="95">
        <f>K85+K83+K84</f>
        <v>0</v>
      </c>
      <c r="L82" s="95"/>
      <c r="M82" s="98">
        <f t="shared" si="12"/>
        <v>0</v>
      </c>
    </row>
    <row r="83" spans="1:17" ht="15.75" hidden="1">
      <c r="A83" s="24"/>
      <c r="B83" s="62"/>
      <c r="C83" s="26"/>
      <c r="D83" s="26"/>
      <c r="E83" s="11">
        <v>12</v>
      </c>
      <c r="F83" s="11"/>
      <c r="G83" s="95"/>
      <c r="H83" s="95"/>
      <c r="I83" s="95"/>
      <c r="J83" s="242"/>
      <c r="K83" s="95"/>
      <c r="L83" s="95"/>
      <c r="M83" s="98">
        <f t="shared" si="12"/>
        <v>0</v>
      </c>
      <c r="O83" s="194">
        <f>586548956.02/1000</f>
        <v>586548.9560199999</v>
      </c>
      <c r="P83" s="194">
        <f>64824015.01/1000</f>
        <v>64824.015009999996</v>
      </c>
      <c r="Q83" s="194"/>
    </row>
    <row r="84" spans="1:16" ht="15.75" hidden="1">
      <c r="A84" s="24"/>
      <c r="B84" s="62"/>
      <c r="C84" s="26"/>
      <c r="D84" s="26"/>
      <c r="E84" s="11">
        <v>14</v>
      </c>
      <c r="F84" s="11"/>
      <c r="G84" s="95"/>
      <c r="H84" s="95"/>
      <c r="I84" s="95"/>
      <c r="J84" s="242"/>
      <c r="K84" s="95"/>
      <c r="L84" s="95"/>
      <c r="M84" s="98">
        <f t="shared" si="12"/>
        <v>0</v>
      </c>
      <c r="O84" s="194">
        <f>13819901.67/1000</f>
        <v>13819.90167</v>
      </c>
      <c r="P84" s="194">
        <f>4060189.37/1000</f>
        <v>4060.18937</v>
      </c>
    </row>
    <row r="85" spans="1:16" ht="15.75" hidden="1">
      <c r="A85" s="64"/>
      <c r="B85" s="65"/>
      <c r="C85" s="23"/>
      <c r="D85" s="23"/>
      <c r="E85" s="14">
        <v>17</v>
      </c>
      <c r="F85" s="14"/>
      <c r="G85" s="96"/>
      <c r="H85" s="96"/>
      <c r="I85" s="96"/>
      <c r="J85" s="243"/>
      <c r="K85" s="96"/>
      <c r="L85" s="96"/>
      <c r="M85" s="196">
        <f t="shared" si="12"/>
        <v>0</v>
      </c>
      <c r="N85" s="194">
        <f>(97880000+7700000)/1000</f>
        <v>105580</v>
      </c>
      <c r="O85" s="194">
        <f>74966201.95/1000</f>
        <v>74966.20195</v>
      </c>
      <c r="P85" s="194">
        <f>18093620.97/1000</f>
        <v>18093.62097</v>
      </c>
    </row>
    <row r="86" spans="1:13" ht="15.75" hidden="1">
      <c r="A86" s="24"/>
      <c r="B86" s="62"/>
      <c r="C86" s="22"/>
      <c r="D86" s="22"/>
      <c r="E86" s="11"/>
      <c r="F86" s="8" t="s">
        <v>40</v>
      </c>
      <c r="G86" s="95"/>
      <c r="H86" s="95"/>
      <c r="I86" s="95"/>
      <c r="J86" s="242"/>
      <c r="K86" s="95"/>
      <c r="L86" s="104"/>
      <c r="M86" s="98"/>
    </row>
    <row r="87" spans="1:13" ht="33.75" customHeight="1" hidden="1">
      <c r="A87" s="24"/>
      <c r="B87" s="62">
        <v>9</v>
      </c>
      <c r="C87" s="22"/>
      <c r="D87" s="22"/>
      <c r="E87" s="11"/>
      <c r="F87" s="4" t="s">
        <v>45</v>
      </c>
      <c r="G87" s="109">
        <f aca="true" t="shared" si="13" ref="G87:I88">G88</f>
        <v>0</v>
      </c>
      <c r="H87" s="109">
        <f t="shared" si="13"/>
        <v>0</v>
      </c>
      <c r="I87" s="109">
        <f t="shared" si="13"/>
        <v>0</v>
      </c>
      <c r="J87" s="240">
        <f>J88</f>
        <v>0</v>
      </c>
      <c r="K87" s="95"/>
      <c r="L87" s="95"/>
      <c r="M87" s="114">
        <f>J87+K87+L87</f>
        <v>0</v>
      </c>
    </row>
    <row r="88" spans="1:13" ht="15.75" hidden="1">
      <c r="A88" s="24"/>
      <c r="B88" s="62"/>
      <c r="C88" s="22"/>
      <c r="D88" s="22"/>
      <c r="E88" s="11"/>
      <c r="F88" s="8" t="s">
        <v>9</v>
      </c>
      <c r="G88" s="94">
        <f t="shared" si="13"/>
        <v>0</v>
      </c>
      <c r="H88" s="94">
        <f t="shared" si="13"/>
        <v>0</v>
      </c>
      <c r="I88" s="94">
        <f t="shared" si="13"/>
        <v>0</v>
      </c>
      <c r="J88" s="241">
        <f>J89</f>
        <v>0</v>
      </c>
      <c r="K88" s="94"/>
      <c r="L88" s="94"/>
      <c r="M88" s="97">
        <f>J88+K88+L88</f>
        <v>0</v>
      </c>
    </row>
    <row r="89" spans="1:13" ht="15.75" hidden="1">
      <c r="A89" s="24"/>
      <c r="B89" s="62"/>
      <c r="C89" s="482">
        <v>2504</v>
      </c>
      <c r="D89" s="482"/>
      <c r="E89" s="11"/>
      <c r="F89" s="11" t="s">
        <v>10</v>
      </c>
      <c r="G89" s="95">
        <f>G91+G90</f>
        <v>0</v>
      </c>
      <c r="H89" s="95">
        <f>H91+H90</f>
        <v>0</v>
      </c>
      <c r="I89" s="95">
        <f>I91+I90</f>
        <v>0</v>
      </c>
      <c r="J89" s="242">
        <f>J91+J90</f>
        <v>0</v>
      </c>
      <c r="K89" s="95"/>
      <c r="L89" s="95"/>
      <c r="M89" s="98">
        <f>J89+K89+L89</f>
        <v>0</v>
      </c>
    </row>
    <row r="90" spans="1:17" ht="15.75" hidden="1">
      <c r="A90" s="24"/>
      <c r="B90" s="62"/>
      <c r="C90" s="26"/>
      <c r="D90" s="26"/>
      <c r="E90" s="11">
        <v>12</v>
      </c>
      <c r="F90" s="11"/>
      <c r="G90" s="95"/>
      <c r="H90" s="95"/>
      <c r="I90" s="95"/>
      <c r="J90" s="242"/>
      <c r="K90" s="95"/>
      <c r="L90" s="95"/>
      <c r="M90" s="98">
        <f>J90+K90+L90</f>
        <v>0</v>
      </c>
      <c r="O90" s="194">
        <f>1117250988.01/1000</f>
        <v>1117250.98801</v>
      </c>
      <c r="P90" s="194">
        <f>517822407.17/1000</f>
        <v>517822.40717</v>
      </c>
      <c r="Q90" s="194"/>
    </row>
    <row r="91" spans="1:16" ht="15.75" hidden="1">
      <c r="A91" s="64"/>
      <c r="B91" s="65"/>
      <c r="C91" s="23"/>
      <c r="D91" s="23"/>
      <c r="E91" s="14">
        <v>17</v>
      </c>
      <c r="F91" s="14"/>
      <c r="G91" s="96"/>
      <c r="H91" s="96"/>
      <c r="I91" s="96"/>
      <c r="J91" s="243"/>
      <c r="K91" s="107"/>
      <c r="L91" s="107"/>
      <c r="M91" s="196">
        <f>J91+K91+L91</f>
        <v>0</v>
      </c>
      <c r="O91" s="194">
        <f>118187217.7/1000</f>
        <v>118187.21770000001</v>
      </c>
      <c r="P91" s="194">
        <f>74957202.59/1000</f>
        <v>74957.20259</v>
      </c>
    </row>
    <row r="92" spans="1:13" ht="15.75" hidden="1">
      <c r="A92" s="24"/>
      <c r="B92" s="62"/>
      <c r="C92" s="22"/>
      <c r="D92" s="22"/>
      <c r="E92" s="11"/>
      <c r="F92" s="8" t="s">
        <v>40</v>
      </c>
      <c r="G92" s="95"/>
      <c r="H92" s="95"/>
      <c r="I92" s="95"/>
      <c r="J92" s="242"/>
      <c r="K92" s="95"/>
      <c r="L92" s="104"/>
      <c r="M92" s="98"/>
    </row>
    <row r="93" spans="1:13" ht="45.75" customHeight="1" hidden="1">
      <c r="A93" s="24"/>
      <c r="B93" s="62">
        <v>10</v>
      </c>
      <c r="C93" s="22"/>
      <c r="D93" s="22"/>
      <c r="E93" s="11"/>
      <c r="F93" s="4" t="s">
        <v>46</v>
      </c>
      <c r="G93" s="109">
        <f aca="true" t="shared" si="14" ref="G93:I94">G94</f>
        <v>0</v>
      </c>
      <c r="H93" s="109">
        <f t="shared" si="14"/>
        <v>0</v>
      </c>
      <c r="I93" s="109">
        <f t="shared" si="14"/>
        <v>0</v>
      </c>
      <c r="J93" s="240">
        <f>J94</f>
        <v>0</v>
      </c>
      <c r="K93" s="95"/>
      <c r="L93" s="95"/>
      <c r="M93" s="114">
        <f>J93+K93+L93</f>
        <v>0</v>
      </c>
    </row>
    <row r="94" spans="1:13" ht="15.75" hidden="1">
      <c r="A94" s="24"/>
      <c r="B94" s="62"/>
      <c r="C94" s="22"/>
      <c r="D94" s="22"/>
      <c r="E94" s="11"/>
      <c r="F94" s="8" t="s">
        <v>9</v>
      </c>
      <c r="G94" s="94">
        <f t="shared" si="14"/>
        <v>0</v>
      </c>
      <c r="H94" s="94">
        <f t="shared" si="14"/>
        <v>0</v>
      </c>
      <c r="I94" s="94">
        <f t="shared" si="14"/>
        <v>0</v>
      </c>
      <c r="J94" s="241">
        <f>J95</f>
        <v>0</v>
      </c>
      <c r="K94" s="94"/>
      <c r="L94" s="94"/>
      <c r="M94" s="97">
        <f>J94+K94+L94</f>
        <v>0</v>
      </c>
    </row>
    <row r="95" spans="1:13" ht="15.75" hidden="1">
      <c r="A95" s="24"/>
      <c r="B95" s="62"/>
      <c r="C95" s="482">
        <v>2504</v>
      </c>
      <c r="D95" s="482"/>
      <c r="E95" s="11"/>
      <c r="F95" s="11" t="s">
        <v>10</v>
      </c>
      <c r="G95" s="95">
        <f>G97+G96</f>
        <v>0</v>
      </c>
      <c r="H95" s="95">
        <f>H97+H96</f>
        <v>0</v>
      </c>
      <c r="I95" s="95">
        <f>I97+I96</f>
        <v>0</v>
      </c>
      <c r="J95" s="242">
        <f>J97+J96</f>
        <v>0</v>
      </c>
      <c r="K95" s="95"/>
      <c r="L95" s="95"/>
      <c r="M95" s="98">
        <f>J95+K95+L95</f>
        <v>0</v>
      </c>
    </row>
    <row r="96" spans="1:17" ht="15.75" hidden="1">
      <c r="A96" s="24"/>
      <c r="B96" s="62"/>
      <c r="C96" s="26"/>
      <c r="D96" s="26"/>
      <c r="E96" s="11">
        <v>12</v>
      </c>
      <c r="F96" s="11"/>
      <c r="G96" s="95"/>
      <c r="H96" s="95"/>
      <c r="I96" s="95"/>
      <c r="J96" s="242"/>
      <c r="K96" s="95"/>
      <c r="L96" s="95"/>
      <c r="M96" s="98">
        <f>J96+K96+L96</f>
        <v>0</v>
      </c>
      <c r="O96" s="194">
        <f>512801720.89/1000</f>
        <v>512801.72089</v>
      </c>
      <c r="P96" s="194">
        <f>318563378.21/1000</f>
        <v>318563.37821</v>
      </c>
      <c r="Q96" s="220"/>
    </row>
    <row r="97" spans="1:16" ht="15.75" hidden="1">
      <c r="A97" s="64"/>
      <c r="B97" s="65"/>
      <c r="C97" s="23"/>
      <c r="D97" s="23"/>
      <c r="E97" s="14">
        <v>17</v>
      </c>
      <c r="F97" s="14"/>
      <c r="G97" s="96"/>
      <c r="H97" s="96"/>
      <c r="I97" s="96"/>
      <c r="J97" s="243"/>
      <c r="K97" s="107"/>
      <c r="L97" s="107"/>
      <c r="M97" s="196">
        <f>J97+K97+L97</f>
        <v>0</v>
      </c>
      <c r="O97" s="194">
        <f>125494063.56/1000</f>
        <v>125494.06356000001</v>
      </c>
      <c r="P97" s="194">
        <f>73525587.12/1000</f>
        <v>73525.58712000001</v>
      </c>
    </row>
    <row r="98" spans="1:13" ht="15.75" hidden="1">
      <c r="A98" s="24"/>
      <c r="B98" s="62"/>
      <c r="C98" s="22"/>
      <c r="D98" s="22"/>
      <c r="E98" s="11"/>
      <c r="F98" s="8" t="s">
        <v>47</v>
      </c>
      <c r="G98" s="95"/>
      <c r="H98" s="95"/>
      <c r="I98" s="95"/>
      <c r="J98" s="242"/>
      <c r="K98" s="104"/>
      <c r="L98" s="104"/>
      <c r="M98" s="198"/>
    </row>
    <row r="99" spans="1:13" ht="79.5" customHeight="1" hidden="1">
      <c r="A99" s="24"/>
      <c r="B99" s="62">
        <v>3</v>
      </c>
      <c r="C99" s="22"/>
      <c r="D99" s="22"/>
      <c r="E99" s="22"/>
      <c r="F99" s="99" t="s">
        <v>64</v>
      </c>
      <c r="G99" s="109">
        <f aca="true" t="shared" si="15" ref="G99:J100">G100</f>
        <v>0</v>
      </c>
      <c r="H99" s="109">
        <f t="shared" si="15"/>
        <v>0</v>
      </c>
      <c r="I99" s="109">
        <f t="shared" si="15"/>
        <v>0</v>
      </c>
      <c r="J99" s="240">
        <f t="shared" si="15"/>
        <v>0</v>
      </c>
      <c r="K99" s="109"/>
      <c r="L99" s="94"/>
      <c r="M99" s="114">
        <f>J99+K99+L99</f>
        <v>0</v>
      </c>
    </row>
    <row r="100" spans="1:13" ht="15.75" hidden="1">
      <c r="A100" s="24"/>
      <c r="B100" s="62"/>
      <c r="C100" s="22"/>
      <c r="D100" s="22"/>
      <c r="E100" s="11"/>
      <c r="F100" s="8" t="s">
        <v>9</v>
      </c>
      <c r="G100" s="94">
        <f t="shared" si="15"/>
        <v>0</v>
      </c>
      <c r="H100" s="94">
        <f t="shared" si="15"/>
        <v>0</v>
      </c>
      <c r="I100" s="94">
        <f t="shared" si="15"/>
        <v>0</v>
      </c>
      <c r="J100" s="241">
        <f t="shared" si="15"/>
        <v>0</v>
      </c>
      <c r="K100" s="94"/>
      <c r="L100" s="94"/>
      <c r="M100" s="97">
        <f>J100+K100+L100</f>
        <v>0</v>
      </c>
    </row>
    <row r="101" spans="1:13" ht="15.75" hidden="1">
      <c r="A101" s="24"/>
      <c r="B101" s="62"/>
      <c r="C101" s="482">
        <v>2504</v>
      </c>
      <c r="D101" s="482"/>
      <c r="E101" s="11"/>
      <c r="F101" s="11" t="s">
        <v>10</v>
      </c>
      <c r="G101" s="95">
        <f>G102+G103</f>
        <v>0</v>
      </c>
      <c r="H101" s="95">
        <f>H102+H103</f>
        <v>0</v>
      </c>
      <c r="I101" s="95">
        <f>I102+I103</f>
        <v>0</v>
      </c>
      <c r="J101" s="242">
        <f>J102+J103</f>
        <v>0</v>
      </c>
      <c r="K101" s="95"/>
      <c r="L101" s="95"/>
      <c r="M101" s="98">
        <f>J101+K101+L101</f>
        <v>0</v>
      </c>
    </row>
    <row r="102" spans="1:13" ht="15.75" hidden="1">
      <c r="A102" s="24"/>
      <c r="B102" s="62"/>
      <c r="C102" s="22"/>
      <c r="D102" s="22"/>
      <c r="E102" s="11">
        <v>12</v>
      </c>
      <c r="F102" s="11"/>
      <c r="G102" s="95"/>
      <c r="H102" s="95"/>
      <c r="I102" s="95"/>
      <c r="J102" s="242"/>
      <c r="K102" s="95"/>
      <c r="L102" s="100"/>
      <c r="M102" s="98">
        <f>J102+K102+L102</f>
        <v>0</v>
      </c>
    </row>
    <row r="103" spans="1:13" ht="15.75" hidden="1">
      <c r="A103" s="64"/>
      <c r="B103" s="65"/>
      <c r="C103" s="23"/>
      <c r="D103" s="23"/>
      <c r="E103" s="14">
        <v>13</v>
      </c>
      <c r="F103" s="14"/>
      <c r="G103" s="96"/>
      <c r="H103" s="96"/>
      <c r="I103" s="96"/>
      <c r="J103" s="243"/>
      <c r="K103" s="96"/>
      <c r="L103" s="107"/>
      <c r="M103" s="196">
        <f>J103+K103+L103</f>
        <v>0</v>
      </c>
    </row>
    <row r="104" spans="1:13" ht="47.25" customHeight="1" hidden="1">
      <c r="A104" s="532" t="s">
        <v>11</v>
      </c>
      <c r="B104" s="532"/>
      <c r="C104" s="532"/>
      <c r="D104" s="532"/>
      <c r="E104" s="532"/>
      <c r="F104" s="532"/>
      <c r="G104" s="532"/>
      <c r="H104" s="532"/>
      <c r="I104" s="532"/>
      <c r="J104" s="532"/>
      <c r="K104" s="532"/>
      <c r="L104" s="532"/>
      <c r="M104" s="532"/>
    </row>
    <row r="105" spans="1:13" ht="17.25" customHeight="1" hidden="1">
      <c r="A105" s="533" t="s">
        <v>2</v>
      </c>
      <c r="B105" s="522" t="s">
        <v>3</v>
      </c>
      <c r="C105" s="536" t="s">
        <v>4</v>
      </c>
      <c r="D105" s="536" t="s">
        <v>5</v>
      </c>
      <c r="E105" s="536" t="s">
        <v>6</v>
      </c>
      <c r="F105" s="525" t="s">
        <v>43</v>
      </c>
      <c r="G105" s="226">
        <v>2015</v>
      </c>
      <c r="H105" s="226">
        <v>2016</v>
      </c>
      <c r="I105" s="525" t="s">
        <v>35</v>
      </c>
      <c r="J105" s="525" t="s">
        <v>30</v>
      </c>
      <c r="K105" s="204">
        <v>2018</v>
      </c>
      <c r="L105" s="204">
        <v>2019</v>
      </c>
      <c r="M105" s="528" t="s">
        <v>36</v>
      </c>
    </row>
    <row r="106" spans="1:13" ht="17.25" customHeight="1" hidden="1">
      <c r="A106" s="534"/>
      <c r="B106" s="523"/>
      <c r="C106" s="537"/>
      <c r="D106" s="537"/>
      <c r="E106" s="537"/>
      <c r="F106" s="526"/>
      <c r="G106" s="227" t="s">
        <v>67</v>
      </c>
      <c r="H106" s="227" t="s">
        <v>22</v>
      </c>
      <c r="I106" s="526"/>
      <c r="J106" s="526"/>
      <c r="K106" s="530" t="s">
        <v>23</v>
      </c>
      <c r="L106" s="530"/>
      <c r="M106" s="529"/>
    </row>
    <row r="107" spans="1:13" ht="47.25" customHeight="1" hidden="1">
      <c r="A107" s="535"/>
      <c r="B107" s="524"/>
      <c r="C107" s="538"/>
      <c r="D107" s="538"/>
      <c r="E107" s="538"/>
      <c r="F107" s="527"/>
      <c r="G107" s="228"/>
      <c r="H107" s="228" t="s">
        <v>0</v>
      </c>
      <c r="I107" s="527"/>
      <c r="J107" s="527"/>
      <c r="K107" s="531"/>
      <c r="L107" s="531"/>
      <c r="M107" s="221"/>
    </row>
    <row r="108" spans="1:13" ht="15.75" hidden="1">
      <c r="A108" s="24"/>
      <c r="B108" s="62"/>
      <c r="C108" s="22"/>
      <c r="D108" s="22"/>
      <c r="E108" s="11"/>
      <c r="F108" s="8" t="s">
        <v>47</v>
      </c>
      <c r="G108" s="95"/>
      <c r="H108" s="95"/>
      <c r="I108" s="95"/>
      <c r="J108" s="242"/>
      <c r="K108" s="95"/>
      <c r="L108" s="104"/>
      <c r="M108" s="98"/>
    </row>
    <row r="109" spans="1:13" ht="35.25" customHeight="1" hidden="1">
      <c r="A109" s="24"/>
      <c r="B109" s="62">
        <v>4</v>
      </c>
      <c r="C109" s="22"/>
      <c r="D109" s="22"/>
      <c r="E109" s="11"/>
      <c r="F109" s="4" t="s">
        <v>65</v>
      </c>
      <c r="G109" s="109">
        <f aca="true" t="shared" si="16" ref="G109:K111">G110</f>
        <v>0</v>
      </c>
      <c r="H109" s="109">
        <f t="shared" si="16"/>
        <v>0</v>
      </c>
      <c r="I109" s="109">
        <f t="shared" si="16"/>
        <v>0</v>
      </c>
      <c r="J109" s="240">
        <f t="shared" si="16"/>
        <v>0</v>
      </c>
      <c r="K109" s="109">
        <f t="shared" si="16"/>
        <v>0</v>
      </c>
      <c r="L109" s="95"/>
      <c r="M109" s="114">
        <f>J109+K109+L109</f>
        <v>0</v>
      </c>
    </row>
    <row r="110" spans="1:13" ht="15.75" hidden="1">
      <c r="A110" s="24"/>
      <c r="B110" s="62"/>
      <c r="C110" s="22"/>
      <c r="D110" s="22"/>
      <c r="E110" s="11"/>
      <c r="F110" s="8" t="s">
        <v>9</v>
      </c>
      <c r="G110" s="94">
        <f t="shared" si="16"/>
        <v>0</v>
      </c>
      <c r="H110" s="94">
        <f t="shared" si="16"/>
        <v>0</v>
      </c>
      <c r="I110" s="94">
        <f t="shared" si="16"/>
        <v>0</v>
      </c>
      <c r="J110" s="241">
        <f t="shared" si="16"/>
        <v>0</v>
      </c>
      <c r="K110" s="94">
        <f t="shared" si="16"/>
        <v>0</v>
      </c>
      <c r="L110" s="94"/>
      <c r="M110" s="97">
        <f>J110+K110+L110</f>
        <v>0</v>
      </c>
    </row>
    <row r="111" spans="1:13" ht="15.75" hidden="1">
      <c r="A111" s="24"/>
      <c r="B111" s="62"/>
      <c r="C111" s="482">
        <v>2504</v>
      </c>
      <c r="D111" s="482"/>
      <c r="E111" s="11"/>
      <c r="F111" s="11" t="s">
        <v>10</v>
      </c>
      <c r="G111" s="95">
        <f>G112</f>
        <v>0</v>
      </c>
      <c r="H111" s="95">
        <f t="shared" si="16"/>
        <v>0</v>
      </c>
      <c r="I111" s="95">
        <f t="shared" si="16"/>
        <v>0</v>
      </c>
      <c r="J111" s="242">
        <f>J112</f>
        <v>0</v>
      </c>
      <c r="K111" s="95">
        <f t="shared" si="16"/>
        <v>0</v>
      </c>
      <c r="L111" s="95"/>
      <c r="M111" s="98">
        <f>J111+L111+K111</f>
        <v>0</v>
      </c>
    </row>
    <row r="112" spans="1:13" ht="15.75" hidden="1">
      <c r="A112" s="64"/>
      <c r="B112" s="65"/>
      <c r="C112" s="23"/>
      <c r="D112" s="23"/>
      <c r="E112" s="14">
        <v>12</v>
      </c>
      <c r="F112" s="14"/>
      <c r="G112" s="96"/>
      <c r="H112" s="96"/>
      <c r="I112" s="96"/>
      <c r="J112" s="243"/>
      <c r="K112" s="107"/>
      <c r="L112" s="107"/>
      <c r="M112" s="108">
        <f>J112+K112+L112</f>
        <v>0</v>
      </c>
    </row>
    <row r="113" spans="1:13" ht="15.75" hidden="1">
      <c r="A113" s="24"/>
      <c r="B113" s="62"/>
      <c r="C113" s="22"/>
      <c r="D113" s="22"/>
      <c r="E113" s="11"/>
      <c r="F113" s="8" t="s">
        <v>48</v>
      </c>
      <c r="G113" s="95"/>
      <c r="H113" s="95"/>
      <c r="I113" s="95"/>
      <c r="J113" s="242"/>
      <c r="K113" s="104"/>
      <c r="L113" s="104"/>
      <c r="M113" s="198"/>
    </row>
    <row r="114" spans="1:13" ht="82.5" customHeight="1" hidden="1">
      <c r="A114" s="24"/>
      <c r="B114" s="62">
        <v>3</v>
      </c>
      <c r="C114" s="22"/>
      <c r="D114" s="22"/>
      <c r="E114" s="22"/>
      <c r="F114" s="99" t="s">
        <v>64</v>
      </c>
      <c r="G114" s="109">
        <f aca="true" t="shared" si="17" ref="G114:J115">G115</f>
        <v>0</v>
      </c>
      <c r="H114" s="109">
        <f t="shared" si="17"/>
        <v>0</v>
      </c>
      <c r="I114" s="109">
        <f t="shared" si="17"/>
        <v>0</v>
      </c>
      <c r="J114" s="240">
        <f t="shared" si="17"/>
        <v>0</v>
      </c>
      <c r="K114" s="109"/>
      <c r="L114" s="94"/>
      <c r="M114" s="114">
        <f>J114+K114+L114</f>
        <v>0</v>
      </c>
    </row>
    <row r="115" spans="1:13" ht="15.75" hidden="1">
      <c r="A115" s="24"/>
      <c r="B115" s="62"/>
      <c r="C115" s="22"/>
      <c r="D115" s="22"/>
      <c r="E115" s="11"/>
      <c r="F115" s="8" t="s">
        <v>9</v>
      </c>
      <c r="G115" s="94">
        <f t="shared" si="17"/>
        <v>0</v>
      </c>
      <c r="H115" s="94">
        <f t="shared" si="17"/>
        <v>0</v>
      </c>
      <c r="I115" s="94">
        <f t="shared" si="17"/>
        <v>0</v>
      </c>
      <c r="J115" s="241">
        <f t="shared" si="17"/>
        <v>0</v>
      </c>
      <c r="K115" s="94"/>
      <c r="L115" s="94"/>
      <c r="M115" s="97">
        <f>J115+K115+L115</f>
        <v>0</v>
      </c>
    </row>
    <row r="116" spans="1:13" ht="15.75" hidden="1">
      <c r="A116" s="24"/>
      <c r="B116" s="62"/>
      <c r="C116" s="482">
        <v>2504</v>
      </c>
      <c r="D116" s="482"/>
      <c r="E116" s="11"/>
      <c r="F116" s="11" t="s">
        <v>10</v>
      </c>
      <c r="G116" s="95">
        <f>G117+G118</f>
        <v>0</v>
      </c>
      <c r="H116" s="95">
        <f>H117+H118</f>
        <v>0</v>
      </c>
      <c r="I116" s="95">
        <f>I117+I118</f>
        <v>0</v>
      </c>
      <c r="J116" s="242">
        <f>J117+J118</f>
        <v>0</v>
      </c>
      <c r="K116" s="95"/>
      <c r="L116" s="95"/>
      <c r="M116" s="98">
        <f>J116+K116+L116</f>
        <v>0</v>
      </c>
    </row>
    <row r="117" spans="1:13" ht="15.75" hidden="1">
      <c r="A117" s="24"/>
      <c r="B117" s="62"/>
      <c r="C117" s="22"/>
      <c r="D117" s="22"/>
      <c r="E117" s="11">
        <v>12</v>
      </c>
      <c r="F117" s="11"/>
      <c r="G117" s="95"/>
      <c r="H117" s="95"/>
      <c r="I117" s="95"/>
      <c r="J117" s="242"/>
      <c r="K117" s="95"/>
      <c r="L117" s="100"/>
      <c r="M117" s="98">
        <f>J117+K117+L117</f>
        <v>0</v>
      </c>
    </row>
    <row r="118" spans="1:13" ht="15.75" hidden="1">
      <c r="A118" s="64"/>
      <c r="B118" s="65"/>
      <c r="C118" s="23"/>
      <c r="D118" s="23"/>
      <c r="E118" s="14">
        <v>13</v>
      </c>
      <c r="F118" s="14"/>
      <c r="G118" s="96"/>
      <c r="H118" s="96"/>
      <c r="I118" s="96"/>
      <c r="J118" s="243"/>
      <c r="K118" s="96"/>
      <c r="L118" s="107"/>
      <c r="M118" s="196">
        <f>J118+K118+L118</f>
        <v>0</v>
      </c>
    </row>
    <row r="119" spans="1:13" ht="15.75" hidden="1">
      <c r="A119" s="24"/>
      <c r="B119" s="62"/>
      <c r="C119" s="22"/>
      <c r="D119" s="22"/>
      <c r="E119" s="11"/>
      <c r="F119" s="8" t="s">
        <v>48</v>
      </c>
      <c r="G119" s="95"/>
      <c r="H119" s="95"/>
      <c r="I119" s="95"/>
      <c r="J119" s="242"/>
      <c r="K119" s="95"/>
      <c r="L119" s="104"/>
      <c r="M119" s="98"/>
    </row>
    <row r="120" spans="1:13" ht="36" customHeight="1" hidden="1">
      <c r="A120" s="24"/>
      <c r="B120" s="62">
        <v>4</v>
      </c>
      <c r="C120" s="22"/>
      <c r="D120" s="22"/>
      <c r="E120" s="11"/>
      <c r="F120" s="4" t="s">
        <v>65</v>
      </c>
      <c r="G120" s="109">
        <f aca="true" t="shared" si="18" ref="G120:K122">G121</f>
        <v>0</v>
      </c>
      <c r="H120" s="109">
        <f t="shared" si="18"/>
        <v>0</v>
      </c>
      <c r="I120" s="109">
        <f t="shared" si="18"/>
        <v>0</v>
      </c>
      <c r="J120" s="240">
        <f t="shared" si="18"/>
        <v>0</v>
      </c>
      <c r="K120" s="109">
        <f t="shared" si="18"/>
        <v>0</v>
      </c>
      <c r="L120" s="95"/>
      <c r="M120" s="114">
        <f>J120+K120+L120</f>
        <v>0</v>
      </c>
    </row>
    <row r="121" spans="1:13" ht="15.75" hidden="1">
      <c r="A121" s="24"/>
      <c r="B121" s="62"/>
      <c r="C121" s="22"/>
      <c r="D121" s="22"/>
      <c r="E121" s="11"/>
      <c r="F121" s="8" t="s">
        <v>9</v>
      </c>
      <c r="G121" s="94">
        <f t="shared" si="18"/>
        <v>0</v>
      </c>
      <c r="H121" s="94">
        <f t="shared" si="18"/>
        <v>0</v>
      </c>
      <c r="I121" s="94">
        <f t="shared" si="18"/>
        <v>0</v>
      </c>
      <c r="J121" s="241">
        <f t="shared" si="18"/>
        <v>0</v>
      </c>
      <c r="K121" s="94">
        <f t="shared" si="18"/>
        <v>0</v>
      </c>
      <c r="L121" s="94"/>
      <c r="M121" s="97">
        <f>J121+K121+L121</f>
        <v>0</v>
      </c>
    </row>
    <row r="122" spans="1:13" ht="15.75" hidden="1">
      <c r="A122" s="24"/>
      <c r="B122" s="62"/>
      <c r="C122" s="482">
        <v>2504</v>
      </c>
      <c r="D122" s="482"/>
      <c r="E122" s="11"/>
      <c r="F122" s="11" t="s">
        <v>10</v>
      </c>
      <c r="G122" s="95">
        <f>G123</f>
        <v>0</v>
      </c>
      <c r="H122" s="95">
        <f t="shared" si="18"/>
        <v>0</v>
      </c>
      <c r="I122" s="95">
        <f>I123</f>
        <v>0</v>
      </c>
      <c r="J122" s="242">
        <f t="shared" si="18"/>
        <v>0</v>
      </c>
      <c r="K122" s="95">
        <f t="shared" si="18"/>
        <v>0</v>
      </c>
      <c r="L122" s="95"/>
      <c r="M122" s="98">
        <f>J122+K122+L122</f>
        <v>0</v>
      </c>
    </row>
    <row r="123" spans="1:13" ht="15.75" hidden="1">
      <c r="A123" s="64"/>
      <c r="B123" s="65"/>
      <c r="C123" s="23"/>
      <c r="D123" s="23"/>
      <c r="E123" s="14">
        <v>12</v>
      </c>
      <c r="F123" s="14"/>
      <c r="G123" s="96"/>
      <c r="H123" s="96"/>
      <c r="I123" s="96"/>
      <c r="J123" s="243"/>
      <c r="K123" s="96"/>
      <c r="L123" s="107"/>
      <c r="M123" s="196">
        <f>J123+K123+L123</f>
        <v>0</v>
      </c>
    </row>
    <row r="124" spans="1:13" ht="15.75" hidden="1">
      <c r="A124" s="28"/>
      <c r="B124" s="66"/>
      <c r="C124" s="67"/>
      <c r="D124" s="67"/>
      <c r="E124" s="56"/>
      <c r="F124" s="18" t="s">
        <v>48</v>
      </c>
      <c r="G124" s="106"/>
      <c r="H124" s="106"/>
      <c r="I124" s="106"/>
      <c r="J124" s="244"/>
      <c r="K124" s="106"/>
      <c r="L124" s="206"/>
      <c r="M124" s="197"/>
    </row>
    <row r="125" spans="1:13" ht="48" hidden="1">
      <c r="A125" s="24"/>
      <c r="B125" s="62">
        <v>30</v>
      </c>
      <c r="C125" s="22"/>
      <c r="D125" s="22"/>
      <c r="E125" s="11"/>
      <c r="F125" s="4" t="s">
        <v>49</v>
      </c>
      <c r="G125" s="109">
        <f>G126</f>
        <v>0</v>
      </c>
      <c r="H125" s="109"/>
      <c r="I125" s="109"/>
      <c r="J125" s="240"/>
      <c r="K125" s="95"/>
      <c r="L125" s="95"/>
      <c r="M125" s="114"/>
    </row>
    <row r="126" spans="1:13" ht="15.75" hidden="1">
      <c r="A126" s="24"/>
      <c r="B126" s="62"/>
      <c r="C126" s="22"/>
      <c r="D126" s="22"/>
      <c r="E126" s="11"/>
      <c r="F126" s="8" t="s">
        <v>9</v>
      </c>
      <c r="G126" s="94">
        <f>G127</f>
        <v>0</v>
      </c>
      <c r="H126" s="94"/>
      <c r="I126" s="94"/>
      <c r="J126" s="242"/>
      <c r="K126" s="95"/>
      <c r="L126" s="95"/>
      <c r="M126" s="98"/>
    </row>
    <row r="127" spans="1:13" ht="15.75" hidden="1">
      <c r="A127" s="24"/>
      <c r="B127" s="62"/>
      <c r="C127" s="482">
        <v>2504</v>
      </c>
      <c r="D127" s="482"/>
      <c r="E127" s="11"/>
      <c r="F127" s="11" t="s">
        <v>10</v>
      </c>
      <c r="G127" s="95">
        <f>+G128</f>
        <v>0</v>
      </c>
      <c r="H127" s="95"/>
      <c r="I127" s="95"/>
      <c r="J127" s="242"/>
      <c r="K127" s="95"/>
      <c r="L127" s="95"/>
      <c r="M127" s="98"/>
    </row>
    <row r="128" spans="1:13" ht="15.75" hidden="1">
      <c r="A128" s="64"/>
      <c r="B128" s="65"/>
      <c r="C128" s="50"/>
      <c r="D128" s="50"/>
      <c r="E128" s="14">
        <v>12</v>
      </c>
      <c r="F128" s="14"/>
      <c r="G128" s="96"/>
      <c r="H128" s="96"/>
      <c r="I128" s="96"/>
      <c r="J128" s="243"/>
      <c r="K128" s="96"/>
      <c r="L128" s="96"/>
      <c r="M128" s="196"/>
    </row>
    <row r="129" spans="1:13" ht="15.75" hidden="1">
      <c r="A129" s="24"/>
      <c r="B129" s="62"/>
      <c r="C129" s="22"/>
      <c r="D129" s="22"/>
      <c r="E129" s="11"/>
      <c r="F129" s="8" t="s">
        <v>48</v>
      </c>
      <c r="G129" s="95"/>
      <c r="H129" s="95"/>
      <c r="I129" s="95"/>
      <c r="J129" s="242"/>
      <c r="K129" s="95"/>
      <c r="L129" s="104"/>
      <c r="M129" s="98"/>
    </row>
    <row r="130" spans="1:13" ht="54" customHeight="1" hidden="1">
      <c r="A130" s="24"/>
      <c r="B130" s="62">
        <v>6</v>
      </c>
      <c r="C130" s="22"/>
      <c r="D130" s="22"/>
      <c r="E130" s="11"/>
      <c r="F130" s="4" t="s">
        <v>44</v>
      </c>
      <c r="G130" s="109">
        <f aca="true" t="shared" si="19" ref="G130:L131">G131</f>
        <v>0</v>
      </c>
      <c r="H130" s="109">
        <f t="shared" si="19"/>
        <v>0</v>
      </c>
      <c r="I130" s="109">
        <f t="shared" si="19"/>
        <v>0</v>
      </c>
      <c r="J130" s="240">
        <f t="shared" si="19"/>
        <v>0</v>
      </c>
      <c r="K130" s="109">
        <f t="shared" si="19"/>
        <v>0</v>
      </c>
      <c r="L130" s="109">
        <f t="shared" si="19"/>
        <v>0</v>
      </c>
      <c r="M130" s="114">
        <f aca="true" t="shared" si="20" ref="M130:M135">J130+K130+L130</f>
        <v>0</v>
      </c>
    </row>
    <row r="131" spans="1:13" ht="15.75" hidden="1">
      <c r="A131" s="24"/>
      <c r="B131" s="62"/>
      <c r="C131" s="22"/>
      <c r="D131" s="22"/>
      <c r="E131" s="11"/>
      <c r="F131" s="8" t="s">
        <v>9</v>
      </c>
      <c r="G131" s="94">
        <f t="shared" si="19"/>
        <v>0</v>
      </c>
      <c r="H131" s="94">
        <f t="shared" si="19"/>
        <v>0</v>
      </c>
      <c r="I131" s="94">
        <f t="shared" si="19"/>
        <v>0</v>
      </c>
      <c r="J131" s="241">
        <f t="shared" si="19"/>
        <v>0</v>
      </c>
      <c r="K131" s="94">
        <f t="shared" si="19"/>
        <v>0</v>
      </c>
      <c r="L131" s="94">
        <f t="shared" si="19"/>
        <v>0</v>
      </c>
      <c r="M131" s="97">
        <f t="shared" si="20"/>
        <v>0</v>
      </c>
    </row>
    <row r="132" spans="1:13" ht="15.75" hidden="1">
      <c r="A132" s="24"/>
      <c r="B132" s="62"/>
      <c r="C132" s="482">
        <v>2504</v>
      </c>
      <c r="D132" s="482"/>
      <c r="E132" s="11"/>
      <c r="F132" s="11" t="s">
        <v>10</v>
      </c>
      <c r="G132" s="95">
        <f>G135+G134+G133</f>
        <v>0</v>
      </c>
      <c r="H132" s="95">
        <f>H135+H134+H133</f>
        <v>0</v>
      </c>
      <c r="I132" s="95">
        <f>I135+I133+I134</f>
        <v>0</v>
      </c>
      <c r="J132" s="242">
        <f>J135+J133+J134</f>
        <v>0</v>
      </c>
      <c r="K132" s="95">
        <f>K133+K134+K135</f>
        <v>0</v>
      </c>
      <c r="L132" s="95">
        <f>L133+L134+L135</f>
        <v>0</v>
      </c>
      <c r="M132" s="98">
        <f t="shared" si="20"/>
        <v>0</v>
      </c>
    </row>
    <row r="133" spans="1:16" ht="15.75" hidden="1">
      <c r="A133" s="24"/>
      <c r="B133" s="62"/>
      <c r="C133" s="26"/>
      <c r="D133" s="26"/>
      <c r="E133" s="11">
        <v>12</v>
      </c>
      <c r="F133" s="11"/>
      <c r="G133" s="95"/>
      <c r="H133" s="95"/>
      <c r="I133" s="95"/>
      <c r="J133" s="242"/>
      <c r="K133" s="95"/>
      <c r="L133" s="95"/>
      <c r="M133" s="98">
        <f t="shared" si="20"/>
        <v>0</v>
      </c>
      <c r="O133" s="194">
        <f>267382507.32/1000</f>
        <v>267382.50732</v>
      </c>
      <c r="P133" s="194">
        <f>10329470.82/1000</f>
        <v>10329.47082</v>
      </c>
    </row>
    <row r="134" spans="1:16" ht="15.75" hidden="1">
      <c r="A134" s="24"/>
      <c r="B134" s="62"/>
      <c r="C134" s="26"/>
      <c r="D134" s="26"/>
      <c r="E134" s="11">
        <v>14</v>
      </c>
      <c r="F134" s="11"/>
      <c r="G134" s="95"/>
      <c r="H134" s="95"/>
      <c r="I134" s="95"/>
      <c r="J134" s="242"/>
      <c r="K134" s="95"/>
      <c r="L134" s="95"/>
      <c r="M134" s="98">
        <f t="shared" si="20"/>
        <v>0</v>
      </c>
      <c r="O134" s="194">
        <f>8704563.05/1000</f>
        <v>8704.56305</v>
      </c>
      <c r="P134" s="194">
        <f>3612975.22/1000</f>
        <v>3612.9752200000003</v>
      </c>
    </row>
    <row r="135" spans="1:16" ht="15.75" hidden="1">
      <c r="A135" s="64"/>
      <c r="B135" s="65"/>
      <c r="C135" s="23"/>
      <c r="D135" s="23"/>
      <c r="E135" s="14">
        <v>17</v>
      </c>
      <c r="F135" s="14"/>
      <c r="G135" s="96"/>
      <c r="H135" s="96"/>
      <c r="I135" s="96"/>
      <c r="J135" s="243"/>
      <c r="K135" s="107"/>
      <c r="L135" s="107"/>
      <c r="M135" s="196">
        <f t="shared" si="20"/>
        <v>0</v>
      </c>
      <c r="O135" s="194">
        <f>30204323.79/1000</f>
        <v>30204.32379</v>
      </c>
      <c r="P135" s="194">
        <f>2797083.83/1000</f>
        <v>2797.08383</v>
      </c>
    </row>
    <row r="136" spans="1:13" ht="15.75">
      <c r="A136" s="24"/>
      <c r="B136" s="62"/>
      <c r="C136" s="22"/>
      <c r="D136" s="22"/>
      <c r="E136" s="11"/>
      <c r="F136" s="18" t="s">
        <v>50</v>
      </c>
      <c r="G136" s="95"/>
      <c r="H136" s="95"/>
      <c r="I136" s="95"/>
      <c r="J136" s="242"/>
      <c r="K136" s="104"/>
      <c r="L136" s="104"/>
      <c r="M136" s="198"/>
    </row>
    <row r="137" spans="1:13" ht="78.75">
      <c r="A137" s="24"/>
      <c r="B137" s="62">
        <v>3</v>
      </c>
      <c r="C137" s="22"/>
      <c r="D137" s="22"/>
      <c r="E137" s="22"/>
      <c r="F137" s="99" t="s">
        <v>64</v>
      </c>
      <c r="G137" s="109">
        <f aca="true" t="shared" si="21" ref="G137:J138">G138</f>
        <v>271000</v>
      </c>
      <c r="H137" s="109">
        <f t="shared" si="21"/>
        <v>320000</v>
      </c>
      <c r="I137" s="109">
        <f t="shared" si="21"/>
        <v>148000</v>
      </c>
      <c r="J137" s="240">
        <f t="shared" si="21"/>
        <v>98000</v>
      </c>
      <c r="K137" s="109"/>
      <c r="L137" s="94"/>
      <c r="M137" s="114">
        <f>J137+K137+L137</f>
        <v>98000</v>
      </c>
    </row>
    <row r="138" spans="1:13" ht="15.75">
      <c r="A138" s="24"/>
      <c r="B138" s="62"/>
      <c r="C138" s="22"/>
      <c r="D138" s="22"/>
      <c r="E138" s="11"/>
      <c r="F138" s="8" t="s">
        <v>9</v>
      </c>
      <c r="G138" s="94">
        <f t="shared" si="21"/>
        <v>271000</v>
      </c>
      <c r="H138" s="94">
        <f t="shared" si="21"/>
        <v>320000</v>
      </c>
      <c r="I138" s="94">
        <f t="shared" si="21"/>
        <v>148000</v>
      </c>
      <c r="J138" s="241">
        <f t="shared" si="21"/>
        <v>98000</v>
      </c>
      <c r="K138" s="94"/>
      <c r="L138" s="94"/>
      <c r="M138" s="97">
        <f>J138+K138+L138</f>
        <v>98000</v>
      </c>
    </row>
    <row r="139" spans="1:13" ht="15.75">
      <c r="A139" s="24"/>
      <c r="B139" s="62"/>
      <c r="C139" s="482">
        <v>2504</v>
      </c>
      <c r="D139" s="482"/>
      <c r="E139" s="11"/>
      <c r="F139" s="11" t="s">
        <v>10</v>
      </c>
      <c r="G139" s="95">
        <f>G140+G141</f>
        <v>271000</v>
      </c>
      <c r="H139" s="95">
        <f>H140+H141</f>
        <v>320000</v>
      </c>
      <c r="I139" s="95">
        <f>I140+I141</f>
        <v>148000</v>
      </c>
      <c r="J139" s="242">
        <f>J140+J141</f>
        <v>98000</v>
      </c>
      <c r="K139" s="95"/>
      <c r="L139" s="95"/>
      <c r="M139" s="98">
        <f>J139+K139+L139</f>
        <v>98000</v>
      </c>
    </row>
    <row r="140" spans="1:13" ht="15.75">
      <c r="A140" s="24"/>
      <c r="B140" s="62"/>
      <c r="C140" s="22"/>
      <c r="D140" s="22"/>
      <c r="E140" s="11">
        <v>12</v>
      </c>
      <c r="F140" s="11"/>
      <c r="G140" s="95">
        <v>182000</v>
      </c>
      <c r="H140" s="95">
        <v>190000</v>
      </c>
      <c r="I140" s="95">
        <v>70000</v>
      </c>
      <c r="J140" s="242">
        <v>98000</v>
      </c>
      <c r="K140" s="95"/>
      <c r="L140" s="100"/>
      <c r="M140" s="98">
        <f>J140+K140+L140</f>
        <v>98000</v>
      </c>
    </row>
    <row r="141" spans="1:13" ht="15.75">
      <c r="A141" s="64"/>
      <c r="B141" s="65"/>
      <c r="C141" s="23"/>
      <c r="D141" s="23"/>
      <c r="E141" s="14">
        <v>13</v>
      </c>
      <c r="F141" s="14"/>
      <c r="G141" s="96">
        <v>89000</v>
      </c>
      <c r="H141" s="96">
        <v>130000</v>
      </c>
      <c r="I141" s="96">
        <v>78000</v>
      </c>
      <c r="J141" s="347">
        <v>0</v>
      </c>
      <c r="K141" s="96"/>
      <c r="L141" s="107"/>
      <c r="M141" s="196">
        <f>J141+K141+L141</f>
        <v>0</v>
      </c>
    </row>
    <row r="142" spans="1:13" ht="15.75">
      <c r="A142" s="24"/>
      <c r="B142" s="62"/>
      <c r="C142" s="22"/>
      <c r="D142" s="22"/>
      <c r="E142" s="11"/>
      <c r="F142" s="18" t="s">
        <v>50</v>
      </c>
      <c r="G142" s="95"/>
      <c r="H142" s="95"/>
      <c r="I142" s="95"/>
      <c r="J142" s="242"/>
      <c r="K142" s="95"/>
      <c r="L142" s="104"/>
      <c r="M142" s="98"/>
    </row>
    <row r="143" spans="1:13" ht="36.75" customHeight="1">
      <c r="A143" s="24"/>
      <c r="B143" s="62">
        <v>4</v>
      </c>
      <c r="C143" s="22"/>
      <c r="D143" s="22"/>
      <c r="E143" s="11"/>
      <c r="F143" s="4" t="s">
        <v>65</v>
      </c>
      <c r="G143" s="109">
        <f aca="true" t="shared" si="22" ref="G143:K145">G144</f>
        <v>365000</v>
      </c>
      <c r="H143" s="109">
        <f t="shared" si="22"/>
        <v>360000</v>
      </c>
      <c r="I143" s="109">
        <f t="shared" si="22"/>
        <v>150000</v>
      </c>
      <c r="J143" s="240">
        <f t="shared" si="22"/>
        <v>475000</v>
      </c>
      <c r="K143" s="361">
        <f t="shared" si="22"/>
        <v>0</v>
      </c>
      <c r="L143" s="95"/>
      <c r="M143" s="114">
        <f>J143+K143+L143</f>
        <v>475000</v>
      </c>
    </row>
    <row r="144" spans="1:13" ht="15.75">
      <c r="A144" s="24"/>
      <c r="B144" s="62"/>
      <c r="C144" s="22"/>
      <c r="D144" s="22"/>
      <c r="E144" s="11"/>
      <c r="F144" s="8" t="s">
        <v>9</v>
      </c>
      <c r="G144" s="94">
        <f t="shared" si="22"/>
        <v>365000</v>
      </c>
      <c r="H144" s="94">
        <f t="shared" si="22"/>
        <v>360000</v>
      </c>
      <c r="I144" s="94">
        <f t="shared" si="22"/>
        <v>150000</v>
      </c>
      <c r="J144" s="241">
        <f t="shared" si="22"/>
        <v>475000</v>
      </c>
      <c r="K144" s="363">
        <f t="shared" si="22"/>
        <v>0</v>
      </c>
      <c r="L144" s="94"/>
      <c r="M144" s="97">
        <f>J144+K144+L144</f>
        <v>475000</v>
      </c>
    </row>
    <row r="145" spans="1:13" ht="15.75">
      <c r="A145" s="24"/>
      <c r="B145" s="62"/>
      <c r="C145" s="482">
        <v>2504</v>
      </c>
      <c r="D145" s="482"/>
      <c r="E145" s="11"/>
      <c r="F145" s="11" t="s">
        <v>10</v>
      </c>
      <c r="G145" s="95">
        <f>G146</f>
        <v>365000</v>
      </c>
      <c r="H145" s="95">
        <f t="shared" si="22"/>
        <v>360000</v>
      </c>
      <c r="I145" s="95">
        <f>I146</f>
        <v>150000</v>
      </c>
      <c r="J145" s="242">
        <f t="shared" si="22"/>
        <v>475000</v>
      </c>
      <c r="K145" s="365">
        <f t="shared" si="22"/>
        <v>0</v>
      </c>
      <c r="L145" s="95"/>
      <c r="M145" s="98">
        <f>J145+K145+L145</f>
        <v>475000</v>
      </c>
    </row>
    <row r="146" spans="1:13" ht="17.25" customHeight="1">
      <c r="A146" s="64"/>
      <c r="B146" s="65"/>
      <c r="C146" s="23"/>
      <c r="D146" s="23"/>
      <c r="E146" s="14">
        <v>12</v>
      </c>
      <c r="F146" s="14"/>
      <c r="G146" s="96">
        <v>365000</v>
      </c>
      <c r="H146" s="96">
        <v>360000</v>
      </c>
      <c r="I146" s="96">
        <v>150000</v>
      </c>
      <c r="J146" s="243">
        <v>475000</v>
      </c>
      <c r="K146" s="96"/>
      <c r="L146" s="107"/>
      <c r="M146" s="98">
        <f>J146+K146+L146</f>
        <v>475000</v>
      </c>
    </row>
    <row r="147" spans="1:13" ht="15.75" hidden="1">
      <c r="A147" s="28"/>
      <c r="B147" s="66"/>
      <c r="C147" s="67"/>
      <c r="D147" s="67"/>
      <c r="E147" s="56"/>
      <c r="F147" s="18" t="s">
        <v>50</v>
      </c>
      <c r="G147" s="106"/>
      <c r="H147" s="106"/>
      <c r="I147" s="106"/>
      <c r="J147" s="244"/>
      <c r="K147" s="106"/>
      <c r="L147" s="206"/>
      <c r="M147" s="197"/>
    </row>
    <row r="148" spans="1:13" ht="48" hidden="1">
      <c r="A148" s="24"/>
      <c r="B148" s="62">
        <v>36</v>
      </c>
      <c r="C148" s="22"/>
      <c r="D148" s="22"/>
      <c r="E148" s="11"/>
      <c r="F148" s="4" t="s">
        <v>42</v>
      </c>
      <c r="G148" s="109">
        <f>G149</f>
        <v>0</v>
      </c>
      <c r="H148" s="109"/>
      <c r="I148" s="109"/>
      <c r="J148" s="240"/>
      <c r="K148" s="95"/>
      <c r="L148" s="95"/>
      <c r="M148" s="114"/>
    </row>
    <row r="149" spans="1:13" ht="15.75" hidden="1">
      <c r="A149" s="24"/>
      <c r="B149" s="62"/>
      <c r="C149" s="22"/>
      <c r="D149" s="22"/>
      <c r="E149" s="11"/>
      <c r="F149" s="8" t="s">
        <v>9</v>
      </c>
      <c r="G149" s="94">
        <f>G150</f>
        <v>0</v>
      </c>
      <c r="H149" s="94"/>
      <c r="I149" s="94"/>
      <c r="J149" s="242"/>
      <c r="K149" s="95"/>
      <c r="L149" s="95"/>
      <c r="M149" s="98"/>
    </row>
    <row r="150" spans="1:13" ht="15.75" hidden="1">
      <c r="A150" s="24"/>
      <c r="B150" s="62"/>
      <c r="C150" s="482">
        <v>2504</v>
      </c>
      <c r="D150" s="482"/>
      <c r="E150" s="11"/>
      <c r="F150" s="11" t="s">
        <v>10</v>
      </c>
      <c r="G150" s="95">
        <f>G152+G151</f>
        <v>0</v>
      </c>
      <c r="H150" s="95"/>
      <c r="I150" s="95"/>
      <c r="J150" s="242"/>
      <c r="K150" s="95"/>
      <c r="L150" s="95"/>
      <c r="M150" s="98"/>
    </row>
    <row r="151" spans="1:13" ht="15.75" hidden="1">
      <c r="A151" s="24"/>
      <c r="B151" s="62"/>
      <c r="C151" s="26"/>
      <c r="D151" s="26"/>
      <c r="E151" s="11">
        <v>12</v>
      </c>
      <c r="F151" s="11"/>
      <c r="G151" s="95"/>
      <c r="H151" s="95"/>
      <c r="I151" s="95"/>
      <c r="J151" s="242"/>
      <c r="K151" s="95"/>
      <c r="L151" s="95"/>
      <c r="M151" s="98"/>
    </row>
    <row r="152" spans="1:13" ht="15.75" hidden="1">
      <c r="A152" s="64"/>
      <c r="B152" s="65"/>
      <c r="C152" s="23"/>
      <c r="D152" s="23"/>
      <c r="E152" s="14">
        <v>17</v>
      </c>
      <c r="F152" s="14"/>
      <c r="G152" s="96"/>
      <c r="H152" s="96"/>
      <c r="I152" s="96"/>
      <c r="J152" s="243"/>
      <c r="K152" s="107"/>
      <c r="L152" s="107"/>
      <c r="M152" s="108"/>
    </row>
    <row r="153" spans="1:13" ht="15.75" customHeight="1" hidden="1">
      <c r="A153" s="532" t="s">
        <v>11</v>
      </c>
      <c r="B153" s="532"/>
      <c r="C153" s="532"/>
      <c r="D153" s="532"/>
      <c r="E153" s="532"/>
      <c r="F153" s="532"/>
      <c r="G153" s="532"/>
      <c r="H153" s="532"/>
      <c r="I153" s="532"/>
      <c r="J153" s="532"/>
      <c r="K153" s="532"/>
      <c r="L153" s="532"/>
      <c r="M153" s="532"/>
    </row>
    <row r="154" spans="1:13" ht="17.25" customHeight="1" hidden="1">
      <c r="A154" s="519" t="s">
        <v>2</v>
      </c>
      <c r="B154" s="522" t="s">
        <v>3</v>
      </c>
      <c r="C154" s="522" t="s">
        <v>4</v>
      </c>
      <c r="D154" s="522" t="s">
        <v>5</v>
      </c>
      <c r="E154" s="522" t="s">
        <v>6</v>
      </c>
      <c r="F154" s="525" t="s">
        <v>43</v>
      </c>
      <c r="G154" s="226">
        <v>2015</v>
      </c>
      <c r="H154" s="226">
        <v>2016</v>
      </c>
      <c r="I154" s="525" t="s">
        <v>35</v>
      </c>
      <c r="J154" s="525" t="s">
        <v>30</v>
      </c>
      <c r="K154" s="204">
        <v>2018</v>
      </c>
      <c r="L154" s="204">
        <v>2019</v>
      </c>
      <c r="M154" s="528" t="s">
        <v>36</v>
      </c>
    </row>
    <row r="155" spans="1:13" ht="17.25" customHeight="1" hidden="1">
      <c r="A155" s="520"/>
      <c r="B155" s="523"/>
      <c r="C155" s="523"/>
      <c r="D155" s="523"/>
      <c r="E155" s="523"/>
      <c r="F155" s="526"/>
      <c r="G155" s="227" t="s">
        <v>66</v>
      </c>
      <c r="H155" s="227" t="s">
        <v>22</v>
      </c>
      <c r="I155" s="526"/>
      <c r="J155" s="526"/>
      <c r="K155" s="530" t="s">
        <v>23</v>
      </c>
      <c r="L155" s="530"/>
      <c r="M155" s="529"/>
    </row>
    <row r="156" spans="1:13" ht="47.25" customHeight="1" hidden="1">
      <c r="A156" s="520"/>
      <c r="B156" s="524"/>
      <c r="C156" s="524"/>
      <c r="D156" s="524"/>
      <c r="E156" s="524"/>
      <c r="F156" s="527"/>
      <c r="G156" s="230"/>
      <c r="H156" s="228" t="s">
        <v>0</v>
      </c>
      <c r="I156" s="527"/>
      <c r="J156" s="527"/>
      <c r="K156" s="531"/>
      <c r="L156" s="531"/>
      <c r="M156" s="221"/>
    </row>
    <row r="157" spans="1:13" ht="15.75" hidden="1">
      <c r="A157" s="24"/>
      <c r="B157" s="62"/>
      <c r="C157" s="22"/>
      <c r="D157" s="22"/>
      <c r="E157" s="11"/>
      <c r="F157" s="18" t="s">
        <v>51</v>
      </c>
      <c r="G157" s="95"/>
      <c r="H157" s="95"/>
      <c r="I157" s="95"/>
      <c r="J157" s="242"/>
      <c r="K157" s="104"/>
      <c r="L157" s="104"/>
      <c r="M157" s="198"/>
    </row>
    <row r="158" spans="1:13" ht="81.75" customHeight="1" hidden="1">
      <c r="A158" s="24"/>
      <c r="B158" s="62">
        <v>38</v>
      </c>
      <c r="C158" s="22"/>
      <c r="D158" s="22"/>
      <c r="E158" s="22"/>
      <c r="F158" s="99" t="s">
        <v>64</v>
      </c>
      <c r="G158" s="109">
        <f aca="true" t="shared" si="23" ref="G158:J159">G159</f>
        <v>0</v>
      </c>
      <c r="H158" s="109">
        <f t="shared" si="23"/>
        <v>0</v>
      </c>
      <c r="I158" s="109">
        <f t="shared" si="23"/>
        <v>0</v>
      </c>
      <c r="J158" s="240">
        <f t="shared" si="23"/>
        <v>0</v>
      </c>
      <c r="K158" s="109"/>
      <c r="L158" s="94"/>
      <c r="M158" s="114">
        <f>J158+K158+L158</f>
        <v>0</v>
      </c>
    </row>
    <row r="159" spans="1:13" ht="15.75" hidden="1">
      <c r="A159" s="24"/>
      <c r="B159" s="62"/>
      <c r="C159" s="22"/>
      <c r="D159" s="22"/>
      <c r="E159" s="11"/>
      <c r="F159" s="8" t="s">
        <v>9</v>
      </c>
      <c r="G159" s="94">
        <f t="shared" si="23"/>
        <v>0</v>
      </c>
      <c r="H159" s="94">
        <f t="shared" si="23"/>
        <v>0</v>
      </c>
      <c r="I159" s="94">
        <f t="shared" si="23"/>
        <v>0</v>
      </c>
      <c r="J159" s="241">
        <f t="shared" si="23"/>
        <v>0</v>
      </c>
      <c r="K159" s="94"/>
      <c r="L159" s="94"/>
      <c r="M159" s="97">
        <f>J159+K159+L159</f>
        <v>0</v>
      </c>
    </row>
    <row r="160" spans="1:13" ht="15.75" hidden="1">
      <c r="A160" s="24"/>
      <c r="B160" s="62"/>
      <c r="C160" s="482">
        <v>2504</v>
      </c>
      <c r="D160" s="482"/>
      <c r="E160" s="11"/>
      <c r="F160" s="11" t="s">
        <v>10</v>
      </c>
      <c r="G160" s="95">
        <f>G161+G162</f>
        <v>0</v>
      </c>
      <c r="H160" s="95">
        <f>H161+H162</f>
        <v>0</v>
      </c>
      <c r="I160" s="95">
        <f>I161+I162</f>
        <v>0</v>
      </c>
      <c r="J160" s="242">
        <f>J161+J162</f>
        <v>0</v>
      </c>
      <c r="K160" s="95"/>
      <c r="L160" s="95"/>
      <c r="M160" s="98">
        <f>J160+K160+L160</f>
        <v>0</v>
      </c>
    </row>
    <row r="161" spans="1:13" ht="15.75" hidden="1">
      <c r="A161" s="24"/>
      <c r="B161" s="62"/>
      <c r="C161" s="22"/>
      <c r="D161" s="22"/>
      <c r="E161" s="11">
        <v>12</v>
      </c>
      <c r="F161" s="11"/>
      <c r="G161" s="95"/>
      <c r="H161" s="95"/>
      <c r="I161" s="95"/>
      <c r="J161" s="242"/>
      <c r="K161" s="95"/>
      <c r="L161" s="100"/>
      <c r="M161" s="98">
        <f>J161+K161+L161</f>
        <v>0</v>
      </c>
    </row>
    <row r="162" spans="1:13" ht="15.75" hidden="1">
      <c r="A162" s="64"/>
      <c r="B162" s="65"/>
      <c r="C162" s="23"/>
      <c r="D162" s="23"/>
      <c r="E162" s="14">
        <v>13</v>
      </c>
      <c r="F162" s="14"/>
      <c r="G162" s="96"/>
      <c r="H162" s="96"/>
      <c r="I162" s="96"/>
      <c r="J162" s="243"/>
      <c r="K162" s="96"/>
      <c r="L162" s="107"/>
      <c r="M162" s="196">
        <f>J162+K162+L162</f>
        <v>0</v>
      </c>
    </row>
    <row r="163" spans="1:13" ht="15.75" hidden="1">
      <c r="A163" s="24"/>
      <c r="B163" s="62"/>
      <c r="C163" s="22"/>
      <c r="D163" s="22"/>
      <c r="E163" s="11"/>
      <c r="F163" s="18" t="s">
        <v>51</v>
      </c>
      <c r="G163" s="95"/>
      <c r="H163" s="95"/>
      <c r="I163" s="95"/>
      <c r="J163" s="242"/>
      <c r="K163" s="95"/>
      <c r="L163" s="104"/>
      <c r="M163" s="98"/>
    </row>
    <row r="164" spans="1:13" ht="35.25" customHeight="1" hidden="1">
      <c r="A164" s="24"/>
      <c r="B164" s="62">
        <v>39</v>
      </c>
      <c r="C164" s="22"/>
      <c r="D164" s="22"/>
      <c r="E164" s="11"/>
      <c r="F164" s="4" t="s">
        <v>65</v>
      </c>
      <c r="G164" s="109">
        <f aca="true" t="shared" si="24" ref="G164:K166">G165</f>
        <v>0</v>
      </c>
      <c r="H164" s="109">
        <f t="shared" si="24"/>
        <v>0</v>
      </c>
      <c r="I164" s="109">
        <f t="shared" si="24"/>
        <v>0</v>
      </c>
      <c r="J164" s="240">
        <f t="shared" si="24"/>
        <v>0</v>
      </c>
      <c r="K164" s="109">
        <f t="shared" si="24"/>
        <v>0</v>
      </c>
      <c r="L164" s="95"/>
      <c r="M164" s="114">
        <f>J164+K164+L164</f>
        <v>0</v>
      </c>
    </row>
    <row r="165" spans="1:13" ht="15.75" hidden="1">
      <c r="A165" s="24"/>
      <c r="B165" s="62"/>
      <c r="C165" s="22"/>
      <c r="D165" s="22"/>
      <c r="E165" s="11"/>
      <c r="F165" s="8" t="s">
        <v>9</v>
      </c>
      <c r="G165" s="94">
        <f t="shared" si="24"/>
        <v>0</v>
      </c>
      <c r="H165" s="94">
        <f t="shared" si="24"/>
        <v>0</v>
      </c>
      <c r="I165" s="94">
        <f t="shared" si="24"/>
        <v>0</v>
      </c>
      <c r="J165" s="241">
        <f t="shared" si="24"/>
        <v>0</v>
      </c>
      <c r="K165" s="94">
        <f t="shared" si="24"/>
        <v>0</v>
      </c>
      <c r="L165" s="94"/>
      <c r="M165" s="97">
        <f>J165+K165+L165</f>
        <v>0</v>
      </c>
    </row>
    <row r="166" spans="1:13" ht="15.75" hidden="1">
      <c r="A166" s="24"/>
      <c r="B166" s="62"/>
      <c r="C166" s="482">
        <v>2504</v>
      </c>
      <c r="D166" s="482"/>
      <c r="E166" s="11"/>
      <c r="F166" s="11" t="s">
        <v>10</v>
      </c>
      <c r="G166" s="95">
        <f>G167</f>
        <v>0</v>
      </c>
      <c r="H166" s="95">
        <f t="shared" si="24"/>
        <v>0</v>
      </c>
      <c r="I166" s="95">
        <f>I167</f>
        <v>0</v>
      </c>
      <c r="J166" s="242">
        <f t="shared" si="24"/>
        <v>0</v>
      </c>
      <c r="K166" s="95">
        <f t="shared" si="24"/>
        <v>0</v>
      </c>
      <c r="L166" s="95"/>
      <c r="M166" s="98">
        <f>J166+K166+L166</f>
        <v>0</v>
      </c>
    </row>
    <row r="167" spans="1:13" ht="15.75" hidden="1">
      <c r="A167" s="64"/>
      <c r="B167" s="65"/>
      <c r="C167" s="23"/>
      <c r="D167" s="23"/>
      <c r="E167" s="14">
        <v>12</v>
      </c>
      <c r="F167" s="14"/>
      <c r="G167" s="96"/>
      <c r="H167" s="96"/>
      <c r="I167" s="96"/>
      <c r="J167" s="243"/>
      <c r="K167" s="96"/>
      <c r="L167" s="107"/>
      <c r="M167" s="196">
        <f>J167+K167+L167</f>
        <v>0</v>
      </c>
    </row>
    <row r="168" spans="1:13" ht="15.75" hidden="1">
      <c r="A168" s="24"/>
      <c r="B168" s="62"/>
      <c r="C168" s="22"/>
      <c r="D168" s="22"/>
      <c r="E168" s="11"/>
      <c r="F168" s="18" t="s">
        <v>51</v>
      </c>
      <c r="G168" s="95"/>
      <c r="H168" s="95"/>
      <c r="I168" s="95"/>
      <c r="J168" s="242"/>
      <c r="K168" s="104"/>
      <c r="L168" s="104"/>
      <c r="M168" s="198"/>
    </row>
    <row r="169" spans="1:13" ht="66.75" customHeight="1" hidden="1">
      <c r="A169" s="24"/>
      <c r="B169" s="62">
        <v>41</v>
      </c>
      <c r="C169" s="22"/>
      <c r="D169" s="22"/>
      <c r="E169" s="22"/>
      <c r="F169" s="207" t="s">
        <v>54</v>
      </c>
      <c r="G169" s="109">
        <f>G170</f>
        <v>0</v>
      </c>
      <c r="H169" s="109"/>
      <c r="I169" s="109"/>
      <c r="J169" s="240"/>
      <c r="K169" s="109"/>
      <c r="L169" s="94"/>
      <c r="M169" s="97"/>
    </row>
    <row r="170" spans="1:13" ht="15.75" hidden="1">
      <c r="A170" s="24"/>
      <c r="B170" s="62"/>
      <c r="C170" s="22"/>
      <c r="D170" s="22"/>
      <c r="E170" s="11"/>
      <c r="F170" s="8" t="s">
        <v>9</v>
      </c>
      <c r="G170" s="94">
        <f>G171</f>
        <v>0</v>
      </c>
      <c r="H170" s="94"/>
      <c r="I170" s="94"/>
      <c r="J170" s="241"/>
      <c r="K170" s="94"/>
      <c r="L170" s="94"/>
      <c r="M170" s="97"/>
    </row>
    <row r="171" spans="1:13" ht="15.75" hidden="1">
      <c r="A171" s="24"/>
      <c r="B171" s="62"/>
      <c r="C171" s="482">
        <v>2504</v>
      </c>
      <c r="D171" s="482"/>
      <c r="E171" s="11"/>
      <c r="F171" s="11" t="s">
        <v>10</v>
      </c>
      <c r="G171" s="95">
        <f>G172+G173</f>
        <v>0</v>
      </c>
      <c r="H171" s="95"/>
      <c r="I171" s="95"/>
      <c r="J171" s="242"/>
      <c r="K171" s="95"/>
      <c r="L171" s="95"/>
      <c r="M171" s="98"/>
    </row>
    <row r="172" spans="1:13" ht="15.75" hidden="1">
      <c r="A172" s="24"/>
      <c r="B172" s="62"/>
      <c r="C172" s="22"/>
      <c r="D172" s="22"/>
      <c r="E172" s="11">
        <v>12</v>
      </c>
      <c r="F172" s="11"/>
      <c r="G172" s="95"/>
      <c r="H172" s="95"/>
      <c r="I172" s="95"/>
      <c r="J172" s="242"/>
      <c r="K172" s="95"/>
      <c r="L172" s="100"/>
      <c r="M172" s="98"/>
    </row>
    <row r="173" spans="1:13" ht="15.75" hidden="1">
      <c r="A173" s="64"/>
      <c r="B173" s="65"/>
      <c r="C173" s="23"/>
      <c r="D173" s="23"/>
      <c r="E173" s="14">
        <v>17</v>
      </c>
      <c r="F173" s="14"/>
      <c r="G173" s="96"/>
      <c r="H173" s="96"/>
      <c r="I173" s="96"/>
      <c r="J173" s="243"/>
      <c r="K173" s="96"/>
      <c r="L173" s="107"/>
      <c r="M173" s="196"/>
    </row>
    <row r="174" spans="1:13" ht="15.75" hidden="1">
      <c r="A174" s="24"/>
      <c r="B174" s="62"/>
      <c r="C174" s="22"/>
      <c r="D174" s="22"/>
      <c r="E174" s="11"/>
      <c r="F174" s="18" t="s">
        <v>52</v>
      </c>
      <c r="G174" s="95"/>
      <c r="H174" s="95"/>
      <c r="I174" s="95"/>
      <c r="J174" s="242"/>
      <c r="K174" s="104"/>
      <c r="L174" s="104"/>
      <c r="M174" s="198"/>
    </row>
    <row r="175" spans="1:13" ht="81" customHeight="1" hidden="1">
      <c r="A175" s="24"/>
      <c r="B175" s="62">
        <v>42</v>
      </c>
      <c r="C175" s="22"/>
      <c r="D175" s="22"/>
      <c r="E175" s="22"/>
      <c r="F175" s="99" t="s">
        <v>64</v>
      </c>
      <c r="G175" s="109">
        <f aca="true" t="shared" si="25" ref="G175:J176">G176</f>
        <v>0</v>
      </c>
      <c r="H175" s="109">
        <f t="shared" si="25"/>
        <v>0</v>
      </c>
      <c r="I175" s="109">
        <f t="shared" si="25"/>
        <v>0</v>
      </c>
      <c r="J175" s="240">
        <f t="shared" si="25"/>
        <v>0</v>
      </c>
      <c r="K175" s="109"/>
      <c r="L175" s="94"/>
      <c r="M175" s="114">
        <f>J175+K175+L175</f>
        <v>0</v>
      </c>
    </row>
    <row r="176" spans="1:13" ht="15.75" hidden="1">
      <c r="A176" s="24"/>
      <c r="B176" s="62"/>
      <c r="C176" s="22"/>
      <c r="D176" s="22"/>
      <c r="E176" s="11"/>
      <c r="F176" s="8" t="s">
        <v>9</v>
      </c>
      <c r="G176" s="94">
        <f t="shared" si="25"/>
        <v>0</v>
      </c>
      <c r="H176" s="94">
        <f t="shared" si="25"/>
        <v>0</v>
      </c>
      <c r="I176" s="94">
        <f t="shared" si="25"/>
        <v>0</v>
      </c>
      <c r="J176" s="241">
        <f t="shared" si="25"/>
        <v>0</v>
      </c>
      <c r="K176" s="94"/>
      <c r="L176" s="94"/>
      <c r="M176" s="97">
        <f>J176+K176+L176</f>
        <v>0</v>
      </c>
    </row>
    <row r="177" spans="1:13" ht="15.75" hidden="1">
      <c r="A177" s="24"/>
      <c r="B177" s="62"/>
      <c r="C177" s="482">
        <v>2504</v>
      </c>
      <c r="D177" s="482"/>
      <c r="E177" s="11"/>
      <c r="F177" s="11" t="s">
        <v>10</v>
      </c>
      <c r="G177" s="95">
        <f>G178+G179</f>
        <v>0</v>
      </c>
      <c r="H177" s="95">
        <f>H178+H179</f>
        <v>0</v>
      </c>
      <c r="I177" s="95">
        <f>I178+I179</f>
        <v>0</v>
      </c>
      <c r="J177" s="242">
        <f>J178+J179</f>
        <v>0</v>
      </c>
      <c r="K177" s="95"/>
      <c r="L177" s="95"/>
      <c r="M177" s="98">
        <f>J177+K177+L177</f>
        <v>0</v>
      </c>
    </row>
    <row r="178" spans="1:13" ht="15.75" hidden="1">
      <c r="A178" s="24"/>
      <c r="B178" s="62"/>
      <c r="C178" s="22"/>
      <c r="D178" s="22"/>
      <c r="E178" s="11">
        <v>12</v>
      </c>
      <c r="F178" s="11"/>
      <c r="G178" s="95"/>
      <c r="H178" s="95"/>
      <c r="I178" s="95"/>
      <c r="J178" s="242"/>
      <c r="K178" s="95"/>
      <c r="L178" s="100"/>
      <c r="M178" s="98">
        <f>J178+K178+L178</f>
        <v>0</v>
      </c>
    </row>
    <row r="179" spans="1:13" ht="15.75" hidden="1">
      <c r="A179" s="64"/>
      <c r="B179" s="65"/>
      <c r="C179" s="23"/>
      <c r="D179" s="23"/>
      <c r="E179" s="14">
        <v>13</v>
      </c>
      <c r="F179" s="14"/>
      <c r="G179" s="96"/>
      <c r="H179" s="96"/>
      <c r="I179" s="96"/>
      <c r="J179" s="243"/>
      <c r="K179" s="96"/>
      <c r="L179" s="107"/>
      <c r="M179" s="196">
        <f>J179+K179+L179</f>
        <v>0</v>
      </c>
    </row>
    <row r="180" spans="1:13" ht="15.75" hidden="1">
      <c r="A180" s="24"/>
      <c r="B180" s="62"/>
      <c r="C180" s="22"/>
      <c r="D180" s="22"/>
      <c r="E180" s="11"/>
      <c r="F180" s="18" t="s">
        <v>52</v>
      </c>
      <c r="G180" s="95"/>
      <c r="H180" s="95"/>
      <c r="I180" s="95"/>
      <c r="J180" s="242"/>
      <c r="K180" s="95"/>
      <c r="L180" s="104"/>
      <c r="M180" s="98"/>
    </row>
    <row r="181" spans="1:13" ht="33.75" customHeight="1" hidden="1">
      <c r="A181" s="24"/>
      <c r="B181" s="62">
        <v>43</v>
      </c>
      <c r="C181" s="22"/>
      <c r="D181" s="22"/>
      <c r="E181" s="11"/>
      <c r="F181" s="4" t="s">
        <v>65</v>
      </c>
      <c r="G181" s="109">
        <f aca="true" t="shared" si="26" ref="G181:K183">G182</f>
        <v>0</v>
      </c>
      <c r="H181" s="109">
        <f t="shared" si="26"/>
        <v>0</v>
      </c>
      <c r="I181" s="109">
        <f t="shared" si="26"/>
        <v>0</v>
      </c>
      <c r="J181" s="240">
        <f t="shared" si="26"/>
        <v>0</v>
      </c>
      <c r="K181" s="109">
        <f t="shared" si="26"/>
        <v>0</v>
      </c>
      <c r="L181" s="95"/>
      <c r="M181" s="114">
        <f>J181+K181+L181</f>
        <v>0</v>
      </c>
    </row>
    <row r="182" spans="1:13" ht="15.75" hidden="1">
      <c r="A182" s="24"/>
      <c r="B182" s="62"/>
      <c r="C182" s="22"/>
      <c r="D182" s="22"/>
      <c r="E182" s="11"/>
      <c r="F182" s="8" t="s">
        <v>9</v>
      </c>
      <c r="G182" s="94">
        <f t="shared" si="26"/>
        <v>0</v>
      </c>
      <c r="H182" s="94">
        <f t="shared" si="26"/>
        <v>0</v>
      </c>
      <c r="I182" s="94">
        <f t="shared" si="26"/>
        <v>0</v>
      </c>
      <c r="J182" s="241">
        <f t="shared" si="26"/>
        <v>0</v>
      </c>
      <c r="K182" s="94">
        <f t="shared" si="26"/>
        <v>0</v>
      </c>
      <c r="L182" s="94"/>
      <c r="M182" s="97">
        <f>J182+K182+L182</f>
        <v>0</v>
      </c>
    </row>
    <row r="183" spans="1:13" ht="15.75" hidden="1">
      <c r="A183" s="24"/>
      <c r="B183" s="62"/>
      <c r="C183" s="482">
        <v>2504</v>
      </c>
      <c r="D183" s="482"/>
      <c r="E183" s="11"/>
      <c r="F183" s="11" t="s">
        <v>10</v>
      </c>
      <c r="G183" s="95">
        <f>G184</f>
        <v>0</v>
      </c>
      <c r="H183" s="95">
        <f t="shared" si="26"/>
        <v>0</v>
      </c>
      <c r="I183" s="95">
        <f>I184</f>
        <v>0</v>
      </c>
      <c r="J183" s="242">
        <f t="shared" si="26"/>
        <v>0</v>
      </c>
      <c r="K183" s="95">
        <f t="shared" si="26"/>
        <v>0</v>
      </c>
      <c r="L183" s="95"/>
      <c r="M183" s="98">
        <f>J183+K183+L183</f>
        <v>0</v>
      </c>
    </row>
    <row r="184" spans="1:13" ht="15.75" hidden="1">
      <c r="A184" s="64"/>
      <c r="B184" s="65"/>
      <c r="C184" s="23"/>
      <c r="D184" s="23"/>
      <c r="E184" s="14">
        <v>12</v>
      </c>
      <c r="F184" s="14"/>
      <c r="G184" s="96"/>
      <c r="H184" s="96"/>
      <c r="I184" s="96"/>
      <c r="J184" s="243"/>
      <c r="K184" s="96"/>
      <c r="L184" s="107"/>
      <c r="M184" s="98">
        <f>J184+K184+L184</f>
        <v>0</v>
      </c>
    </row>
    <row r="185" spans="1:13" ht="15.75" hidden="1">
      <c r="A185" s="28"/>
      <c r="B185" s="66"/>
      <c r="C185" s="67"/>
      <c r="D185" s="67"/>
      <c r="E185" s="56"/>
      <c r="F185" s="18" t="s">
        <v>52</v>
      </c>
      <c r="G185" s="106"/>
      <c r="H185" s="106"/>
      <c r="I185" s="106"/>
      <c r="J185" s="244"/>
      <c r="K185" s="106"/>
      <c r="L185" s="206"/>
      <c r="M185" s="197"/>
    </row>
    <row r="186" spans="1:13" ht="48" hidden="1">
      <c r="A186" s="24"/>
      <c r="B186" s="62">
        <v>45</v>
      </c>
      <c r="C186" s="22"/>
      <c r="D186" s="22"/>
      <c r="E186" s="11"/>
      <c r="F186" s="4" t="s">
        <v>42</v>
      </c>
      <c r="G186" s="109">
        <f>G187</f>
        <v>0</v>
      </c>
      <c r="H186" s="109"/>
      <c r="I186" s="109"/>
      <c r="J186" s="240"/>
      <c r="K186" s="95"/>
      <c r="L186" s="95"/>
      <c r="M186" s="114"/>
    </row>
    <row r="187" spans="1:13" ht="15.75" hidden="1">
      <c r="A187" s="24"/>
      <c r="B187" s="62"/>
      <c r="C187" s="22"/>
      <c r="D187" s="22"/>
      <c r="E187" s="11"/>
      <c r="F187" s="8" t="s">
        <v>9</v>
      </c>
      <c r="G187" s="94">
        <f>G188</f>
        <v>0</v>
      </c>
      <c r="H187" s="94"/>
      <c r="I187" s="94"/>
      <c r="J187" s="242"/>
      <c r="K187" s="95"/>
      <c r="L187" s="95"/>
      <c r="M187" s="98"/>
    </row>
    <row r="188" spans="1:13" ht="15.75" hidden="1">
      <c r="A188" s="24"/>
      <c r="B188" s="62"/>
      <c r="C188" s="482">
        <v>2504</v>
      </c>
      <c r="D188" s="482"/>
      <c r="E188" s="11"/>
      <c r="F188" s="11" t="s">
        <v>10</v>
      </c>
      <c r="G188" s="95">
        <f>G191+G189+G190</f>
        <v>0</v>
      </c>
      <c r="H188" s="95"/>
      <c r="I188" s="95"/>
      <c r="J188" s="242"/>
      <c r="K188" s="95"/>
      <c r="L188" s="95"/>
      <c r="M188" s="98"/>
    </row>
    <row r="189" spans="1:13" ht="15.75" hidden="1">
      <c r="A189" s="24"/>
      <c r="B189" s="62"/>
      <c r="C189" s="26"/>
      <c r="D189" s="26"/>
      <c r="E189" s="11">
        <v>12</v>
      </c>
      <c r="F189" s="11"/>
      <c r="G189" s="95"/>
      <c r="H189" s="95"/>
      <c r="I189" s="95"/>
      <c r="J189" s="242"/>
      <c r="K189" s="95"/>
      <c r="L189" s="95"/>
      <c r="M189" s="98"/>
    </row>
    <row r="190" spans="1:13" ht="15.75" hidden="1">
      <c r="A190" s="24"/>
      <c r="B190" s="62"/>
      <c r="C190" s="26"/>
      <c r="D190" s="26"/>
      <c r="E190" s="11">
        <v>14</v>
      </c>
      <c r="F190" s="11"/>
      <c r="G190" s="95"/>
      <c r="H190" s="95"/>
      <c r="I190" s="95"/>
      <c r="J190" s="242"/>
      <c r="K190" s="95"/>
      <c r="L190" s="95"/>
      <c r="M190" s="98"/>
    </row>
    <row r="191" spans="1:13" ht="15.75" hidden="1">
      <c r="A191" s="64"/>
      <c r="B191" s="65"/>
      <c r="C191" s="23"/>
      <c r="D191" s="23"/>
      <c r="E191" s="14">
        <v>17</v>
      </c>
      <c r="F191" s="14"/>
      <c r="G191" s="96"/>
      <c r="H191" s="96"/>
      <c r="I191" s="96"/>
      <c r="J191" s="243"/>
      <c r="K191" s="107"/>
      <c r="L191" s="107"/>
      <c r="M191" s="108"/>
    </row>
    <row r="192" spans="1:13" ht="15.75" hidden="1">
      <c r="A192" s="28"/>
      <c r="B192" s="66"/>
      <c r="C192" s="67"/>
      <c r="D192" s="67"/>
      <c r="E192" s="56"/>
      <c r="F192" s="18" t="s">
        <v>52</v>
      </c>
      <c r="G192" s="106"/>
      <c r="H192" s="106"/>
      <c r="I192" s="106"/>
      <c r="J192" s="244"/>
      <c r="K192" s="106"/>
      <c r="L192" s="206"/>
      <c r="M192" s="197"/>
    </row>
    <row r="193" spans="1:13" ht="48" hidden="1">
      <c r="A193" s="24"/>
      <c r="B193" s="62">
        <v>46</v>
      </c>
      <c r="C193" s="22"/>
      <c r="D193" s="22"/>
      <c r="E193" s="11"/>
      <c r="F193" s="4" t="s">
        <v>49</v>
      </c>
      <c r="G193" s="109">
        <f>G194</f>
        <v>0</v>
      </c>
      <c r="H193" s="109"/>
      <c r="I193" s="109"/>
      <c r="J193" s="240"/>
      <c r="K193" s="95"/>
      <c r="L193" s="95"/>
      <c r="M193" s="114"/>
    </row>
    <row r="194" spans="1:13" ht="15.75" hidden="1">
      <c r="A194" s="24"/>
      <c r="B194" s="62"/>
      <c r="C194" s="22"/>
      <c r="D194" s="22"/>
      <c r="E194" s="11"/>
      <c r="F194" s="8" t="s">
        <v>9</v>
      </c>
      <c r="G194" s="94">
        <f>G195</f>
        <v>0</v>
      </c>
      <c r="H194" s="94"/>
      <c r="I194" s="94"/>
      <c r="J194" s="242"/>
      <c r="K194" s="95"/>
      <c r="L194" s="95"/>
      <c r="M194" s="98"/>
    </row>
    <row r="195" spans="1:13" ht="15.75" hidden="1">
      <c r="A195" s="24"/>
      <c r="B195" s="62"/>
      <c r="C195" s="482">
        <v>2504</v>
      </c>
      <c r="D195" s="482"/>
      <c r="E195" s="11"/>
      <c r="F195" s="11" t="s">
        <v>10</v>
      </c>
      <c r="G195" s="95">
        <f>+G196</f>
        <v>0</v>
      </c>
      <c r="H195" s="95"/>
      <c r="I195" s="95"/>
      <c r="J195" s="242"/>
      <c r="K195" s="95"/>
      <c r="L195" s="95"/>
      <c r="M195" s="98"/>
    </row>
    <row r="196" spans="1:13" ht="15.75" hidden="1">
      <c r="A196" s="64"/>
      <c r="B196" s="65"/>
      <c r="C196" s="50"/>
      <c r="D196" s="50"/>
      <c r="E196" s="14">
        <v>12</v>
      </c>
      <c r="F196" s="14"/>
      <c r="G196" s="96"/>
      <c r="H196" s="96"/>
      <c r="I196" s="96"/>
      <c r="J196" s="243"/>
      <c r="K196" s="96"/>
      <c r="L196" s="96"/>
      <c r="M196" s="196"/>
    </row>
    <row r="197" spans="1:13" ht="11.25" customHeight="1">
      <c r="A197" s="64"/>
      <c r="B197" s="65"/>
      <c r="C197" s="23"/>
      <c r="D197" s="23"/>
      <c r="E197" s="14"/>
      <c r="F197" s="14"/>
      <c r="G197" s="96"/>
      <c r="H197" s="96"/>
      <c r="I197" s="96"/>
      <c r="J197" s="96"/>
      <c r="K197" s="107"/>
      <c r="L197" s="107"/>
      <c r="M197" s="210"/>
    </row>
    <row r="198" spans="1:13" ht="15.75">
      <c r="A198" s="247"/>
      <c r="B198" s="248"/>
      <c r="C198" s="249"/>
      <c r="D198" s="249"/>
      <c r="E198" s="249"/>
      <c r="F198" s="250" t="s">
        <v>12</v>
      </c>
      <c r="G198" s="251">
        <f aca="true" t="shared" si="27" ref="G198:M198">G19+G13+G24+G30+G40+G46+G56+G62+G67+G74+G81+G88+G94+G100+G110+G115+G121+G126+G131+G138+G144+G149+G159+G165+G170+G176+G182+G187+G194+G35</f>
        <v>636000</v>
      </c>
      <c r="H198" s="251">
        <f t="shared" si="27"/>
        <v>680000</v>
      </c>
      <c r="I198" s="251">
        <f t="shared" si="27"/>
        <v>298000</v>
      </c>
      <c r="J198" s="251">
        <f t="shared" si="27"/>
        <v>573000</v>
      </c>
      <c r="K198" s="251">
        <f t="shared" si="27"/>
        <v>0</v>
      </c>
      <c r="L198" s="251">
        <f t="shared" si="27"/>
        <v>0</v>
      </c>
      <c r="M198" s="252">
        <f t="shared" si="27"/>
        <v>573000</v>
      </c>
    </row>
    <row r="199" spans="1:13" ht="9.75" customHeight="1">
      <c r="A199" s="25"/>
      <c r="B199" s="62"/>
      <c r="C199" s="22"/>
      <c r="D199" s="22"/>
      <c r="E199" s="22"/>
      <c r="F199" s="22"/>
      <c r="G199" s="21"/>
      <c r="H199" s="21"/>
      <c r="I199" s="21"/>
      <c r="J199" s="21"/>
      <c r="K199" s="27"/>
      <c r="L199" s="27"/>
      <c r="M199" s="101"/>
    </row>
    <row r="200" spans="1:13" ht="15.75">
      <c r="A200" s="540" t="s">
        <v>13</v>
      </c>
      <c r="B200" s="541"/>
      <c r="C200" s="541"/>
      <c r="D200" s="541"/>
      <c r="E200" s="541"/>
      <c r="F200" s="541"/>
      <c r="G200" s="245">
        <f>G12+G18+G23+G29+G39+G45+G55+G61+G66+G73+G80+G87+G93+G99+G109+G114+G120+G125+G130+G137+G143+G148+G158+G164+G169+G175+G181+G186+G193+G34</f>
        <v>636000</v>
      </c>
      <c r="H200" s="245">
        <f aca="true" t="shared" si="28" ref="H200:M200">H12+H18+H23+H29+H39+H45+H55+H61+H66+H73+H80+H87+H93+H99+H109+H114+H120+H125+H130+H137+H143+H148+H158+H164+H169+H175+H181+H186+H193</f>
        <v>680000</v>
      </c>
      <c r="I200" s="245">
        <f t="shared" si="28"/>
        <v>298000</v>
      </c>
      <c r="J200" s="245">
        <f t="shared" si="28"/>
        <v>573000</v>
      </c>
      <c r="K200" s="245">
        <f t="shared" si="28"/>
        <v>0</v>
      </c>
      <c r="L200" s="245">
        <f t="shared" si="28"/>
        <v>0</v>
      </c>
      <c r="M200" s="246">
        <f t="shared" si="28"/>
        <v>573000</v>
      </c>
    </row>
    <row r="201" spans="1:13" ht="15.75">
      <c r="A201" s="28"/>
      <c r="B201" s="17"/>
      <c r="C201" s="18" t="s">
        <v>14</v>
      </c>
      <c r="D201" s="18"/>
      <c r="E201" s="18"/>
      <c r="F201" s="18"/>
      <c r="G201" s="19">
        <f>G202</f>
        <v>0</v>
      </c>
      <c r="H201" s="19">
        <f aca="true" t="shared" si="29" ref="H201:M201">H202</f>
        <v>0</v>
      </c>
      <c r="I201" s="19">
        <f t="shared" si="29"/>
        <v>0</v>
      </c>
      <c r="J201" s="237">
        <f t="shared" si="29"/>
        <v>0</v>
      </c>
      <c r="K201" s="19">
        <f t="shared" si="29"/>
        <v>0</v>
      </c>
      <c r="L201" s="19">
        <f t="shared" si="29"/>
        <v>0</v>
      </c>
      <c r="M201" s="90">
        <f t="shared" si="29"/>
        <v>0</v>
      </c>
    </row>
    <row r="202" spans="1:13" ht="15.75">
      <c r="A202" s="25"/>
      <c r="B202" s="10">
        <v>17</v>
      </c>
      <c r="C202" s="11"/>
      <c r="D202" s="11" t="s">
        <v>15</v>
      </c>
      <c r="E202" s="11"/>
      <c r="F202" s="11"/>
      <c r="G202" s="12">
        <v>0</v>
      </c>
      <c r="H202" s="12">
        <v>0</v>
      </c>
      <c r="I202" s="12">
        <v>0</v>
      </c>
      <c r="J202" s="259">
        <v>0</v>
      </c>
      <c r="K202" s="12">
        <v>0</v>
      </c>
      <c r="L202" s="12">
        <v>0</v>
      </c>
      <c r="M202" s="81">
        <v>0</v>
      </c>
    </row>
    <row r="203" spans="1:13" ht="15.75">
      <c r="A203" s="24"/>
      <c r="B203" s="7"/>
      <c r="C203" s="8" t="s">
        <v>16</v>
      </c>
      <c r="D203" s="8"/>
      <c r="E203" s="8"/>
      <c r="F203" s="8"/>
      <c r="G203" s="9">
        <f aca="true" t="shared" si="30" ref="G203:M203">G204+G205+G206</f>
        <v>636000</v>
      </c>
      <c r="H203" s="9">
        <f t="shared" si="30"/>
        <v>680000</v>
      </c>
      <c r="I203" s="9">
        <f t="shared" si="30"/>
        <v>298000</v>
      </c>
      <c r="J203" s="238">
        <f t="shared" si="30"/>
        <v>573000</v>
      </c>
      <c r="K203" s="9">
        <f t="shared" si="30"/>
        <v>0</v>
      </c>
      <c r="L203" s="9">
        <f t="shared" si="30"/>
        <v>0</v>
      </c>
      <c r="M203" s="83">
        <f t="shared" si="30"/>
        <v>573000</v>
      </c>
    </row>
    <row r="204" spans="1:13" ht="15.75">
      <c r="A204" s="25"/>
      <c r="B204" s="10">
        <v>12</v>
      </c>
      <c r="C204" s="11"/>
      <c r="D204" s="11" t="s">
        <v>17</v>
      </c>
      <c r="E204" s="11"/>
      <c r="F204" s="11"/>
      <c r="G204" s="12">
        <f aca="true" t="shared" si="31" ref="G204:M204">G15+G21+G26+G32+G42+G48+G58+G64+G76+G83+G90+G96+G102+G112+G117+G123+G133+G140+G146+G161+G167+G172+G178+G189+G196+G69+G128+G151+G184+G36</f>
        <v>547000</v>
      </c>
      <c r="H204" s="12">
        <f t="shared" si="31"/>
        <v>550000</v>
      </c>
      <c r="I204" s="12">
        <f t="shared" si="31"/>
        <v>220000</v>
      </c>
      <c r="J204" s="232">
        <f t="shared" si="31"/>
        <v>573000</v>
      </c>
      <c r="K204" s="12">
        <f t="shared" si="31"/>
        <v>0</v>
      </c>
      <c r="L204" s="12">
        <f t="shared" si="31"/>
        <v>0</v>
      </c>
      <c r="M204" s="81">
        <f t="shared" si="31"/>
        <v>573000</v>
      </c>
    </row>
    <row r="205" spans="1:13" ht="15.75">
      <c r="A205" s="25"/>
      <c r="B205" s="10">
        <v>13</v>
      </c>
      <c r="C205" s="11"/>
      <c r="D205" s="11" t="s">
        <v>18</v>
      </c>
      <c r="E205" s="11"/>
      <c r="F205" s="11"/>
      <c r="G205" s="12">
        <f aca="true" t="shared" si="32" ref="G205:M205">G16+G27+G43+G59+G103+G118+G141+G162+G179</f>
        <v>89000</v>
      </c>
      <c r="H205" s="12">
        <f t="shared" si="32"/>
        <v>130000</v>
      </c>
      <c r="I205" s="12">
        <f t="shared" si="32"/>
        <v>78000</v>
      </c>
      <c r="J205" s="259">
        <f t="shared" si="32"/>
        <v>0</v>
      </c>
      <c r="K205" s="12">
        <f t="shared" si="32"/>
        <v>0</v>
      </c>
      <c r="L205" s="12">
        <f t="shared" si="32"/>
        <v>0</v>
      </c>
      <c r="M205" s="81">
        <f t="shared" si="32"/>
        <v>0</v>
      </c>
    </row>
    <row r="206" spans="1:13" ht="15.75">
      <c r="A206" s="29"/>
      <c r="B206" s="13">
        <v>14</v>
      </c>
      <c r="C206" s="14"/>
      <c r="D206" s="14" t="s">
        <v>19</v>
      </c>
      <c r="E206" s="14"/>
      <c r="F206" s="14"/>
      <c r="G206" s="15">
        <f aca="true" t="shared" si="33" ref="G206:M206">G70+G77+G84+G134+G190</f>
        <v>0</v>
      </c>
      <c r="H206" s="15">
        <f t="shared" si="33"/>
        <v>0</v>
      </c>
      <c r="I206" s="15">
        <f t="shared" si="33"/>
        <v>0</v>
      </c>
      <c r="J206" s="260">
        <f t="shared" si="33"/>
        <v>0</v>
      </c>
      <c r="K206" s="15">
        <f t="shared" si="33"/>
        <v>0</v>
      </c>
      <c r="L206" s="15">
        <f t="shared" si="33"/>
        <v>0</v>
      </c>
      <c r="M206" s="84">
        <f t="shared" si="33"/>
        <v>0</v>
      </c>
    </row>
    <row r="207" spans="1:10" ht="15.75">
      <c r="A207" s="22"/>
      <c r="B207" s="10"/>
      <c r="C207" s="11"/>
      <c r="D207" s="11"/>
      <c r="E207" s="11"/>
      <c r="F207" s="11"/>
      <c r="G207" s="12"/>
      <c r="H207" s="12"/>
      <c r="I207" s="12"/>
      <c r="J207" s="21"/>
    </row>
    <row r="208" spans="1:13" ht="15.75">
      <c r="A208" s="22"/>
      <c r="B208" s="10"/>
      <c r="C208" s="11"/>
      <c r="D208" s="11"/>
      <c r="E208" s="11"/>
      <c r="F208" s="11"/>
      <c r="G208" s="12">
        <f aca="true" t="shared" si="34" ref="G208:M208">G10-G198</f>
        <v>0</v>
      </c>
      <c r="H208" s="12">
        <f t="shared" si="34"/>
        <v>0</v>
      </c>
      <c r="I208" s="12">
        <f t="shared" si="34"/>
        <v>0</v>
      </c>
      <c r="J208" s="12">
        <f t="shared" si="34"/>
        <v>0</v>
      </c>
      <c r="K208" s="12">
        <f t="shared" si="34"/>
        <v>0</v>
      </c>
      <c r="L208" s="12">
        <f t="shared" si="34"/>
        <v>0</v>
      </c>
      <c r="M208" s="12">
        <f t="shared" si="34"/>
        <v>0</v>
      </c>
    </row>
    <row r="209" spans="1:15" ht="15.75">
      <c r="A209" s="22"/>
      <c r="B209" s="10"/>
      <c r="C209" s="11"/>
      <c r="D209" s="11"/>
      <c r="E209" s="11"/>
      <c r="F209" s="11"/>
      <c r="G209" s="12">
        <f>G198-G200</f>
        <v>0</v>
      </c>
      <c r="H209" s="12">
        <f aca="true" t="shared" si="35" ref="H209:M209">H198-H200</f>
        <v>0</v>
      </c>
      <c r="I209" s="12">
        <f t="shared" si="35"/>
        <v>0</v>
      </c>
      <c r="J209" s="12">
        <f t="shared" si="35"/>
        <v>0</v>
      </c>
      <c r="K209" s="12">
        <f t="shared" si="35"/>
        <v>0</v>
      </c>
      <c r="L209" s="12">
        <f t="shared" si="35"/>
        <v>0</v>
      </c>
      <c r="M209" s="12">
        <f t="shared" si="35"/>
        <v>0</v>
      </c>
      <c r="N209"/>
      <c r="O209"/>
    </row>
    <row r="210" spans="7:15" ht="12.75">
      <c r="G210" s="123">
        <f aca="true" t="shared" si="36" ref="G210:M210">G200-G10</f>
        <v>0</v>
      </c>
      <c r="H210" s="123">
        <f t="shared" si="36"/>
        <v>0</v>
      </c>
      <c r="I210" s="123">
        <f t="shared" si="36"/>
        <v>0</v>
      </c>
      <c r="J210" s="123">
        <f t="shared" si="36"/>
        <v>0</v>
      </c>
      <c r="K210" s="123">
        <f t="shared" si="36"/>
        <v>0</v>
      </c>
      <c r="L210" s="123">
        <f t="shared" si="36"/>
        <v>0</v>
      </c>
      <c r="M210" s="123">
        <f t="shared" si="36"/>
        <v>0</v>
      </c>
      <c r="N210"/>
      <c r="O210"/>
    </row>
    <row r="211" spans="7:15" ht="12.75">
      <c r="G211" s="123"/>
      <c r="H211" s="123"/>
      <c r="I211" s="194"/>
      <c r="J211" s="123"/>
      <c r="K211" s="123"/>
      <c r="L211" s="123"/>
      <c r="M211" s="123"/>
      <c r="N211"/>
      <c r="O211"/>
    </row>
    <row r="212" spans="6:15" ht="15.75">
      <c r="F212" s="539"/>
      <c r="G212" s="539"/>
      <c r="H212" s="339"/>
      <c r="I212" s="340"/>
      <c r="J212" s="314"/>
      <c r="K212" s="314"/>
      <c r="N212"/>
      <c r="O212"/>
    </row>
    <row r="213" spans="6:15" ht="15.75">
      <c r="F213" s="539"/>
      <c r="G213" s="539"/>
      <c r="H213" s="339"/>
      <c r="I213" s="340"/>
      <c r="J213" s="314"/>
      <c r="K213" s="314"/>
      <c r="N213"/>
      <c r="O213"/>
    </row>
    <row r="214" spans="6:15" ht="15.75">
      <c r="F214" s="314"/>
      <c r="G214" s="314"/>
      <c r="H214" s="341"/>
      <c r="I214" s="340"/>
      <c r="J214" s="342"/>
      <c r="K214" s="342"/>
      <c r="N214"/>
      <c r="O214"/>
    </row>
    <row r="215" spans="6:15" ht="15.75">
      <c r="F215" s="314"/>
      <c r="G215" s="314"/>
      <c r="H215" s="343"/>
      <c r="I215" s="104"/>
      <c r="J215" s="342"/>
      <c r="K215" s="314"/>
      <c r="N215"/>
      <c r="O215"/>
    </row>
    <row r="216" spans="6:15" ht="15.75">
      <c r="F216" s="314"/>
      <c r="G216" s="314"/>
      <c r="H216" s="314"/>
      <c r="I216" s="104"/>
      <c r="J216" s="314"/>
      <c r="K216" s="314"/>
      <c r="N216"/>
      <c r="O216"/>
    </row>
    <row r="217" spans="6:15" ht="15.75">
      <c r="F217" s="314"/>
      <c r="G217" s="314"/>
      <c r="H217" s="314"/>
      <c r="I217" s="292"/>
      <c r="J217" s="314"/>
      <c r="K217" s="314"/>
      <c r="N217"/>
      <c r="O217"/>
    </row>
    <row r="218" spans="9:15" ht="12.75">
      <c r="I218" s="194"/>
      <c r="N218"/>
      <c r="O218"/>
    </row>
  </sheetData>
  <sheetProtection/>
  <mergeCells count="83">
    <mergeCell ref="A1:M1"/>
    <mergeCell ref="A2:M2"/>
    <mergeCell ref="A3:M3"/>
    <mergeCell ref="A4:M4"/>
    <mergeCell ref="A5:M5"/>
    <mergeCell ref="A6:M6"/>
    <mergeCell ref="A7:A9"/>
    <mergeCell ref="B7:B9"/>
    <mergeCell ref="C7:C9"/>
    <mergeCell ref="D7:D9"/>
    <mergeCell ref="E7:E9"/>
    <mergeCell ref="F7:F9"/>
    <mergeCell ref="H7:H9"/>
    <mergeCell ref="I7:I9"/>
    <mergeCell ref="J7:J9"/>
    <mergeCell ref="M7:M8"/>
    <mergeCell ref="K8:L9"/>
    <mergeCell ref="C14:D14"/>
    <mergeCell ref="C20:D20"/>
    <mergeCell ref="C25:D25"/>
    <mergeCell ref="C31:D31"/>
    <mergeCell ref="C35:D35"/>
    <mergeCell ref="C41:D41"/>
    <mergeCell ref="C47:D47"/>
    <mergeCell ref="A50:M50"/>
    <mergeCell ref="A51:A53"/>
    <mergeCell ref="B51:B53"/>
    <mergeCell ref="C51:C53"/>
    <mergeCell ref="D51:D53"/>
    <mergeCell ref="E51:E53"/>
    <mergeCell ref="F51:F53"/>
    <mergeCell ref="I51:I53"/>
    <mergeCell ref="J51:J53"/>
    <mergeCell ref="M51:M52"/>
    <mergeCell ref="K52:L53"/>
    <mergeCell ref="C57:D57"/>
    <mergeCell ref="C63:D63"/>
    <mergeCell ref="C68:D68"/>
    <mergeCell ref="C75:D75"/>
    <mergeCell ref="C82:D82"/>
    <mergeCell ref="C89:D89"/>
    <mergeCell ref="C95:D95"/>
    <mergeCell ref="C101:D101"/>
    <mergeCell ref="A104:M104"/>
    <mergeCell ref="A105:A107"/>
    <mergeCell ref="B105:B107"/>
    <mergeCell ref="C105:C107"/>
    <mergeCell ref="D105:D107"/>
    <mergeCell ref="E105:E107"/>
    <mergeCell ref="F105:F107"/>
    <mergeCell ref="I105:I107"/>
    <mergeCell ref="J105:J107"/>
    <mergeCell ref="M105:M106"/>
    <mergeCell ref="K106:L107"/>
    <mergeCell ref="C111:D111"/>
    <mergeCell ref="C116:D116"/>
    <mergeCell ref="M154:M155"/>
    <mergeCell ref="C122:D122"/>
    <mergeCell ref="C127:D127"/>
    <mergeCell ref="C132:D132"/>
    <mergeCell ref="C139:D139"/>
    <mergeCell ref="C145:D145"/>
    <mergeCell ref="C150:D150"/>
    <mergeCell ref="C183:D183"/>
    <mergeCell ref="A153:M153"/>
    <mergeCell ref="A154:A156"/>
    <mergeCell ref="B154:B156"/>
    <mergeCell ref="C154:C156"/>
    <mergeCell ref="D154:D156"/>
    <mergeCell ref="E154:E156"/>
    <mergeCell ref="F154:F156"/>
    <mergeCell ref="I154:I156"/>
    <mergeCell ref="J154:J156"/>
    <mergeCell ref="C188:D188"/>
    <mergeCell ref="C195:D195"/>
    <mergeCell ref="A200:F200"/>
    <mergeCell ref="F212:G212"/>
    <mergeCell ref="F213:G213"/>
    <mergeCell ref="K155:L156"/>
    <mergeCell ref="C160:D160"/>
    <mergeCell ref="C166:D166"/>
    <mergeCell ref="C171:D171"/>
    <mergeCell ref="C177:D177"/>
  </mergeCells>
  <printOptions/>
  <pageMargins left="0.37" right="0.17" top="0.75" bottom="0.75" header="0.3" footer="0.3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Mr.Upendra Hewpathirana</dc:creator>
  <cp:keywords/>
  <dc:description/>
  <cp:lastModifiedBy>admin</cp:lastModifiedBy>
  <cp:lastPrinted>2017-09-08T04:00:42Z</cp:lastPrinted>
  <dcterms:created xsi:type="dcterms:W3CDTF">2006-08-08T05:54:21Z</dcterms:created>
  <dcterms:modified xsi:type="dcterms:W3CDTF">2017-10-12T04:00:53Z</dcterms:modified>
  <cp:category/>
  <cp:version/>
  <cp:contentType/>
  <cp:contentStatus/>
</cp:coreProperties>
</file>